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ALVARI 22.04.20021\My Documents\CONT DE EXECUTIE AN 2023\"/>
    </mc:Choice>
  </mc:AlternateContent>
  <bookViews>
    <workbookView xWindow="0" yWindow="0" windowWidth="28800" windowHeight="12300" activeTab="1"/>
  </bookViews>
  <sheets>
    <sheet name="venituri" sheetId="1" r:id="rId1"/>
    <sheet name="cheltuieli" sheetId="2" r:id="rId2"/>
  </sheets>
  <definedNames>
    <definedName name="_xlnm.Database">#REF!</definedName>
    <definedName name="_xlnm.Print_Area" localSheetId="0">venituri!$A$1:$F$89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5" i="2" l="1"/>
  <c r="F226" i="2"/>
  <c r="E226" i="2"/>
  <c r="D226" i="2"/>
  <c r="G251" i="2" l="1"/>
  <c r="G241" i="2"/>
  <c r="G272" i="2"/>
  <c r="G270" i="2"/>
  <c r="G273" i="2"/>
  <c r="G271" i="2"/>
  <c r="G263" i="2"/>
  <c r="G262" i="2"/>
  <c r="G261" i="2"/>
  <c r="G260" i="2"/>
  <c r="G258" i="2"/>
  <c r="G257" i="2"/>
  <c r="G256" i="2"/>
  <c r="G243" i="2"/>
  <c r="G250" i="2"/>
  <c r="G248" i="2"/>
  <c r="G246" i="2"/>
  <c r="G230" i="2"/>
  <c r="G228" i="2"/>
  <c r="G226" i="2"/>
  <c r="G227" i="2"/>
  <c r="H208" i="2"/>
  <c r="G220" i="2"/>
  <c r="G215" i="2"/>
  <c r="G209" i="2"/>
  <c r="G203" i="2"/>
  <c r="F184" i="2"/>
  <c r="E185" i="2"/>
  <c r="F185" i="2"/>
  <c r="E184" i="2"/>
  <c r="D184" i="2"/>
  <c r="D185" i="2"/>
  <c r="G198" i="2"/>
  <c r="G193" i="2"/>
  <c r="G190" i="2"/>
  <c r="G186" i="2"/>
  <c r="G188" i="2"/>
  <c r="G187" i="2"/>
  <c r="G185" i="2"/>
  <c r="G184" i="2"/>
  <c r="G183" i="2"/>
  <c r="G177" i="2"/>
  <c r="G173" i="2"/>
  <c r="H122" i="2"/>
  <c r="G91" i="2"/>
  <c r="G104" i="2"/>
  <c r="G103" i="2"/>
  <c r="G102" i="2"/>
  <c r="G101" i="2"/>
  <c r="G99" i="2"/>
  <c r="G93" i="2"/>
  <c r="G92" i="2"/>
  <c r="G47" i="2"/>
  <c r="G48" i="2"/>
  <c r="G51" i="2"/>
  <c r="G53" i="2"/>
  <c r="G54" i="2"/>
  <c r="G56" i="2"/>
  <c r="G76" i="2"/>
  <c r="G74" i="2" s="1"/>
  <c r="G42" i="2"/>
  <c r="G32" i="2"/>
  <c r="G31" i="2"/>
  <c r="G28" i="2"/>
  <c r="G27" i="2"/>
  <c r="G26" i="2"/>
  <c r="G25" i="2"/>
  <c r="E111" i="1" l="1"/>
  <c r="E63" i="1"/>
  <c r="E60" i="1"/>
  <c r="E50" i="1"/>
  <c r="E49" i="1"/>
  <c r="E46" i="1"/>
  <c r="E45" i="1"/>
  <c r="E44" i="1"/>
  <c r="E43" i="1"/>
  <c r="E38" i="1"/>
  <c r="E37" i="1"/>
  <c r="E33" i="1"/>
  <c r="E31" i="1"/>
  <c r="E30" i="1"/>
  <c r="E27" i="1"/>
  <c r="E25" i="1"/>
  <c r="E23" i="1"/>
  <c r="E17" i="1"/>
  <c r="E208" i="2"/>
  <c r="G191" i="2" l="1"/>
  <c r="G194" i="2"/>
  <c r="G182" i="2"/>
  <c r="G150" i="2"/>
  <c r="G147" i="2"/>
  <c r="G144" i="2"/>
  <c r="G133" i="2"/>
  <c r="G129" i="2"/>
  <c r="G123" i="2"/>
  <c r="G120" i="2"/>
  <c r="G117" i="2"/>
  <c r="G108" i="2"/>
  <c r="G57" i="2" l="1"/>
  <c r="G45" i="2"/>
  <c r="G35" i="2"/>
  <c r="F208" i="2"/>
  <c r="F74" i="2"/>
  <c r="E225" i="2" l="1"/>
  <c r="D225" i="2"/>
  <c r="D183" i="2"/>
  <c r="E183" i="2"/>
  <c r="D182" i="2" l="1"/>
  <c r="E182" i="2"/>
  <c r="C152" i="2"/>
  <c r="E152" i="2" l="1"/>
  <c r="F152" i="2"/>
  <c r="G152" i="2"/>
  <c r="H152" i="2"/>
  <c r="D152" i="2"/>
  <c r="D291" i="2" l="1"/>
  <c r="D290" i="2" s="1"/>
  <c r="D289" i="2" s="1"/>
  <c r="F291" i="2"/>
  <c r="F290" i="2" s="1"/>
  <c r="F289" i="2" s="1"/>
  <c r="H291" i="2"/>
  <c r="H290" i="2" s="1"/>
  <c r="H289" i="2" s="1"/>
  <c r="D292" i="2"/>
  <c r="E292" i="2"/>
  <c r="E291" i="2" s="1"/>
  <c r="E290" i="2" s="1"/>
  <c r="E289" i="2" s="1"/>
  <c r="F292" i="2"/>
  <c r="G292" i="2"/>
  <c r="G291" i="2" s="1"/>
  <c r="G290" i="2" s="1"/>
  <c r="G289" i="2" s="1"/>
  <c r="H292" i="2"/>
  <c r="D280" i="2"/>
  <c r="E280" i="2"/>
  <c r="F280" i="2"/>
  <c r="G280" i="2"/>
  <c r="G275" i="2" s="1"/>
  <c r="G14" i="2" s="1"/>
  <c r="H280" i="2"/>
  <c r="E275" i="2"/>
  <c r="E14" i="2" s="1"/>
  <c r="D276" i="2"/>
  <c r="D275" i="2" s="1"/>
  <c r="D14" i="2" s="1"/>
  <c r="E276" i="2"/>
  <c r="F276" i="2"/>
  <c r="F275" i="2" s="1"/>
  <c r="F14" i="2" s="1"/>
  <c r="G276" i="2"/>
  <c r="H276" i="2"/>
  <c r="H275" i="2" s="1"/>
  <c r="H14" i="2" s="1"/>
  <c r="D267" i="2"/>
  <c r="D266" i="2" s="1"/>
  <c r="D268" i="2"/>
  <c r="E268" i="2"/>
  <c r="E267" i="2" s="1"/>
  <c r="E266" i="2" s="1"/>
  <c r="F268" i="2"/>
  <c r="F267" i="2" s="1"/>
  <c r="F266" i="2" s="1"/>
  <c r="G268" i="2"/>
  <c r="G267" i="2" s="1"/>
  <c r="G266" i="2" s="1"/>
  <c r="H268" i="2"/>
  <c r="H267" i="2" s="1"/>
  <c r="H266" i="2" s="1"/>
  <c r="D269" i="2"/>
  <c r="E269" i="2"/>
  <c r="F269" i="2"/>
  <c r="G269" i="2"/>
  <c r="H269" i="2"/>
  <c r="D259" i="2"/>
  <c r="D255" i="2" s="1"/>
  <c r="D254" i="2" s="1"/>
  <c r="D253" i="2" s="1"/>
  <c r="D12" i="2" s="1"/>
  <c r="E259" i="2"/>
  <c r="E255" i="2" s="1"/>
  <c r="E254" i="2" s="1"/>
  <c r="E253" i="2" s="1"/>
  <c r="E12" i="2" s="1"/>
  <c r="F259" i="2"/>
  <c r="F255" i="2" s="1"/>
  <c r="F254" i="2" s="1"/>
  <c r="F253" i="2" s="1"/>
  <c r="F12" i="2" s="1"/>
  <c r="G259" i="2"/>
  <c r="G255" i="2" s="1"/>
  <c r="G254" i="2" s="1"/>
  <c r="G253" i="2" s="1"/>
  <c r="G12" i="2" s="1"/>
  <c r="H259" i="2"/>
  <c r="H255" i="2" s="1"/>
  <c r="H254" i="2" s="1"/>
  <c r="H253" i="2" s="1"/>
  <c r="H12" i="2" s="1"/>
  <c r="D252" i="2"/>
  <c r="E252" i="2"/>
  <c r="E18" i="2" s="1"/>
  <c r="F252" i="2"/>
  <c r="G252" i="2"/>
  <c r="G18" i="2" s="1"/>
  <c r="H252" i="2"/>
  <c r="H18" i="2" s="1"/>
  <c r="D242" i="2"/>
  <c r="E242" i="2"/>
  <c r="F242" i="2"/>
  <c r="G242" i="2"/>
  <c r="H242" i="2"/>
  <c r="D237" i="2"/>
  <c r="E237" i="2"/>
  <c r="F237" i="2"/>
  <c r="G237" i="2"/>
  <c r="H237" i="2"/>
  <c r="D234" i="2"/>
  <c r="E234" i="2"/>
  <c r="F234" i="2"/>
  <c r="G234" i="2"/>
  <c r="H234" i="2"/>
  <c r="D231" i="2"/>
  <c r="E231" i="2"/>
  <c r="F231" i="2"/>
  <c r="G231" i="2"/>
  <c r="H231" i="2"/>
  <c r="F224" i="2"/>
  <c r="G225" i="2"/>
  <c r="H225" i="2"/>
  <c r="D219" i="2"/>
  <c r="E219" i="2"/>
  <c r="F219" i="2"/>
  <c r="G219" i="2"/>
  <c r="H219" i="2"/>
  <c r="D214" i="2"/>
  <c r="E214" i="2"/>
  <c r="F214" i="2"/>
  <c r="G214" i="2"/>
  <c r="H214" i="2"/>
  <c r="D208" i="2"/>
  <c r="D202" i="2" s="1"/>
  <c r="E202" i="2"/>
  <c r="F202" i="2"/>
  <c r="G208" i="2"/>
  <c r="H202" i="2"/>
  <c r="D205" i="2"/>
  <c r="E205" i="2"/>
  <c r="F205" i="2"/>
  <c r="G205" i="2"/>
  <c r="H205" i="2"/>
  <c r="D197" i="2"/>
  <c r="E197" i="2"/>
  <c r="F197" i="2"/>
  <c r="G197" i="2"/>
  <c r="H197" i="2"/>
  <c r="D192" i="2"/>
  <c r="E192" i="2"/>
  <c r="F192" i="2"/>
  <c r="G192" i="2"/>
  <c r="H192" i="2"/>
  <c r="F181" i="2"/>
  <c r="D181" i="2"/>
  <c r="E181" i="2"/>
  <c r="G181" i="2"/>
  <c r="H182" i="2"/>
  <c r="H181" i="2" s="1"/>
  <c r="D176" i="2"/>
  <c r="E176" i="2"/>
  <c r="F176" i="2"/>
  <c r="G176" i="2"/>
  <c r="H176" i="2"/>
  <c r="D172" i="2"/>
  <c r="E172" i="2"/>
  <c r="F172" i="2"/>
  <c r="G172" i="2"/>
  <c r="H172" i="2"/>
  <c r="D167" i="2"/>
  <c r="E167" i="2"/>
  <c r="F167" i="2"/>
  <c r="G167" i="2"/>
  <c r="G162" i="2" s="1"/>
  <c r="H167" i="2"/>
  <c r="E162" i="2"/>
  <c r="D163" i="2"/>
  <c r="D162" i="2" s="1"/>
  <c r="E163" i="2"/>
  <c r="F163" i="2"/>
  <c r="F162" i="2" s="1"/>
  <c r="G163" i="2"/>
  <c r="H163" i="2"/>
  <c r="H162" i="2" s="1"/>
  <c r="D157" i="2"/>
  <c r="E157" i="2"/>
  <c r="F157" i="2"/>
  <c r="G157" i="2"/>
  <c r="H157" i="2"/>
  <c r="D149" i="2"/>
  <c r="E149" i="2"/>
  <c r="F149" i="2"/>
  <c r="G149" i="2"/>
  <c r="H149" i="2"/>
  <c r="D146" i="2"/>
  <c r="E146" i="2"/>
  <c r="F146" i="2"/>
  <c r="G146" i="2"/>
  <c r="H146" i="2"/>
  <c r="D143" i="2"/>
  <c r="E143" i="2"/>
  <c r="F143" i="2"/>
  <c r="G143" i="2"/>
  <c r="H143" i="2"/>
  <c r="D138" i="2"/>
  <c r="E138" i="2"/>
  <c r="F138" i="2"/>
  <c r="G138" i="2"/>
  <c r="H138" i="2"/>
  <c r="D132" i="2"/>
  <c r="D131" i="2" s="1"/>
  <c r="E132" i="2"/>
  <c r="F132" i="2"/>
  <c r="G132" i="2"/>
  <c r="G131" i="2" s="1"/>
  <c r="H132" i="2"/>
  <c r="H131" i="2" s="1"/>
  <c r="D128" i="2"/>
  <c r="E128" i="2"/>
  <c r="F128" i="2"/>
  <c r="G128" i="2"/>
  <c r="H128" i="2"/>
  <c r="D125" i="2"/>
  <c r="E125" i="2"/>
  <c r="F125" i="2"/>
  <c r="G125" i="2"/>
  <c r="H125" i="2"/>
  <c r="D122" i="2"/>
  <c r="E122" i="2"/>
  <c r="F122" i="2"/>
  <c r="G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E90" i="2" s="1"/>
  <c r="F98" i="2"/>
  <c r="F97" i="2" s="1"/>
  <c r="G98" i="2"/>
  <c r="G97" i="2" s="1"/>
  <c r="D94" i="2"/>
  <c r="E94" i="2"/>
  <c r="F94" i="2"/>
  <c r="G94" i="2"/>
  <c r="H94" i="2"/>
  <c r="D79" i="2"/>
  <c r="D78" i="2" s="1"/>
  <c r="D77" i="2" s="1"/>
  <c r="D16" i="2" s="1"/>
  <c r="E79" i="2"/>
  <c r="E78" i="2" s="1"/>
  <c r="F79" i="2"/>
  <c r="F78" i="2" s="1"/>
  <c r="G79" i="2"/>
  <c r="G78" i="2" s="1"/>
  <c r="H79" i="2"/>
  <c r="H78" i="2" s="1"/>
  <c r="D74" i="2"/>
  <c r="D15" i="2" s="1"/>
  <c r="E74" i="2"/>
  <c r="E15" i="2" s="1"/>
  <c r="F15" i="2"/>
  <c r="G15" i="2"/>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D36" i="2"/>
  <c r="E36" i="2"/>
  <c r="F36" i="2"/>
  <c r="G36" i="2"/>
  <c r="H36" i="2"/>
  <c r="D34" i="2"/>
  <c r="E34" i="2"/>
  <c r="F34" i="2"/>
  <c r="G34" i="2"/>
  <c r="H34" i="2"/>
  <c r="D18" i="2"/>
  <c r="F18" i="2"/>
  <c r="D24" i="2"/>
  <c r="E24" i="2"/>
  <c r="F24" i="2"/>
  <c r="G24" i="2"/>
  <c r="H24" i="2"/>
  <c r="C234" i="2"/>
  <c r="C225" i="2"/>
  <c r="C214" i="2"/>
  <c r="C192" i="2"/>
  <c r="C182" i="2"/>
  <c r="C181" i="2" s="1"/>
  <c r="C138" i="2"/>
  <c r="C36" i="2"/>
  <c r="C110" i="1"/>
  <c r="D110" i="1"/>
  <c r="E110" i="1"/>
  <c r="F110" i="1"/>
  <c r="C108" i="1"/>
  <c r="C107" i="1" s="1"/>
  <c r="C106" i="1" s="1"/>
  <c r="D108" i="1"/>
  <c r="D107" i="1" s="1"/>
  <c r="D106" i="1" s="1"/>
  <c r="E108" i="1"/>
  <c r="E107" i="1" s="1"/>
  <c r="E106" i="1" s="1"/>
  <c r="F108" i="1"/>
  <c r="F107" i="1" s="1"/>
  <c r="F106" i="1" s="1"/>
  <c r="C103" i="1"/>
  <c r="D103" i="1"/>
  <c r="E103" i="1"/>
  <c r="F103" i="1"/>
  <c r="C99" i="1"/>
  <c r="D99" i="1"/>
  <c r="E99" i="1"/>
  <c r="F99" i="1"/>
  <c r="C96" i="1"/>
  <c r="C95" i="1" s="1"/>
  <c r="D96" i="1"/>
  <c r="D95" i="1" s="1"/>
  <c r="E96" i="1"/>
  <c r="E95" i="1" s="1"/>
  <c r="F96" i="1"/>
  <c r="F95" i="1" s="1"/>
  <c r="C93" i="1"/>
  <c r="D93" i="1"/>
  <c r="E93" i="1"/>
  <c r="F93" i="1"/>
  <c r="C91" i="1"/>
  <c r="C90" i="1" s="1"/>
  <c r="D91" i="1"/>
  <c r="D90" i="1" s="1"/>
  <c r="E91" i="1"/>
  <c r="E90" i="1" s="1"/>
  <c r="F91" i="1"/>
  <c r="F90" i="1" s="1"/>
  <c r="C81" i="1"/>
  <c r="D81" i="1"/>
  <c r="E81" i="1"/>
  <c r="F81" i="1"/>
  <c r="C68" i="1"/>
  <c r="C67" i="1" s="1"/>
  <c r="C66" i="1" s="1"/>
  <c r="D68" i="1"/>
  <c r="D67" i="1" s="1"/>
  <c r="D66" i="1" s="1"/>
  <c r="E68" i="1"/>
  <c r="F68" i="1"/>
  <c r="F67" i="1" s="1"/>
  <c r="F66" i="1" s="1"/>
  <c r="C64" i="1"/>
  <c r="D64" i="1"/>
  <c r="E64" i="1"/>
  <c r="F64" i="1"/>
  <c r="C59" i="1"/>
  <c r="C58" i="1" s="1"/>
  <c r="D59" i="1"/>
  <c r="D58" i="1" s="1"/>
  <c r="E59" i="1"/>
  <c r="E58" i="1" s="1"/>
  <c r="F59" i="1"/>
  <c r="F58" i="1" s="1"/>
  <c r="C56" i="1"/>
  <c r="D56" i="1"/>
  <c r="E56" i="1"/>
  <c r="F56" i="1"/>
  <c r="C54" i="1"/>
  <c r="C53" i="1" s="1"/>
  <c r="D54" i="1"/>
  <c r="D53" i="1" s="1"/>
  <c r="E54" i="1"/>
  <c r="E53" i="1" s="1"/>
  <c r="F54" i="1"/>
  <c r="F53" i="1" s="1"/>
  <c r="C29" i="1"/>
  <c r="C28" i="1" s="1"/>
  <c r="D29" i="1"/>
  <c r="D28" i="1" s="1"/>
  <c r="E29" i="1"/>
  <c r="E28" i="1" s="1"/>
  <c r="F29" i="1"/>
  <c r="F28" i="1" s="1"/>
  <c r="C24" i="1"/>
  <c r="D24" i="1"/>
  <c r="E24" i="1"/>
  <c r="F24" i="1"/>
  <c r="C16" i="1"/>
  <c r="C15" i="1" s="1"/>
  <c r="D16" i="1"/>
  <c r="D15" i="1" s="1"/>
  <c r="E16" i="1"/>
  <c r="F16" i="1"/>
  <c r="C9" i="1"/>
  <c r="D9" i="1"/>
  <c r="E9" i="1"/>
  <c r="F9" i="1"/>
  <c r="C292" i="2"/>
  <c r="C291" i="2" s="1"/>
  <c r="C290" i="2" s="1"/>
  <c r="C289" i="2" s="1"/>
  <c r="C280" i="2"/>
  <c r="C276" i="2"/>
  <c r="C269" i="2"/>
  <c r="C268" i="2"/>
  <c r="C267" i="2" s="1"/>
  <c r="C266" i="2" s="1"/>
  <c r="C265" i="2" s="1"/>
  <c r="C264" i="2" s="1"/>
  <c r="C259" i="2"/>
  <c r="C255" i="2" s="1"/>
  <c r="C254" i="2" s="1"/>
  <c r="C252" i="2"/>
  <c r="C18" i="2" s="1"/>
  <c r="C242" i="2"/>
  <c r="C237" i="2"/>
  <c r="C231" i="2"/>
  <c r="C224" i="2" s="1"/>
  <c r="C219" i="2"/>
  <c r="C208" i="2"/>
  <c r="C205" i="2"/>
  <c r="C197" i="2"/>
  <c r="C176" i="2"/>
  <c r="C172" i="2"/>
  <c r="C167" i="2"/>
  <c r="C163" i="2"/>
  <c r="C157"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E67" i="1" l="1"/>
  <c r="E66" i="1" s="1"/>
  <c r="E131" i="2"/>
  <c r="E15" i="1"/>
  <c r="E14" i="1" s="1"/>
  <c r="F23" i="2"/>
  <c r="F9" i="2" s="1"/>
  <c r="F15" i="1"/>
  <c r="F14" i="1" s="1"/>
  <c r="G286" i="2"/>
  <c r="G285" i="2" s="1"/>
  <c r="G284" i="2" s="1"/>
  <c r="G288" i="2"/>
  <c r="G287" i="2" s="1"/>
  <c r="H288" i="2"/>
  <c r="H287" i="2" s="1"/>
  <c r="H286" i="2"/>
  <c r="H285" i="2" s="1"/>
  <c r="H284" i="2" s="1"/>
  <c r="F286" i="2"/>
  <c r="F285" i="2" s="1"/>
  <c r="F284" i="2" s="1"/>
  <c r="F288" i="2"/>
  <c r="F287" i="2" s="1"/>
  <c r="E288" i="2"/>
  <c r="E287" i="2" s="1"/>
  <c r="E286" i="2"/>
  <c r="E285" i="2" s="1"/>
  <c r="E284" i="2" s="1"/>
  <c r="D288" i="2"/>
  <c r="D287" i="2" s="1"/>
  <c r="D286" i="2"/>
  <c r="D285" i="2" s="1"/>
  <c r="D284" i="2" s="1"/>
  <c r="E265" i="2"/>
  <c r="E264" i="2" s="1"/>
  <c r="E13" i="2"/>
  <c r="G265" i="2"/>
  <c r="G264" i="2" s="1"/>
  <c r="G13" i="2"/>
  <c r="H265" i="2"/>
  <c r="H264" i="2" s="1"/>
  <c r="H13" i="2"/>
  <c r="F13" i="2"/>
  <c r="F265" i="2"/>
  <c r="F264" i="2" s="1"/>
  <c r="D265" i="2"/>
  <c r="D264" i="2" s="1"/>
  <c r="D13" i="2"/>
  <c r="F223" i="2"/>
  <c r="E224" i="2"/>
  <c r="E223" i="2" s="1"/>
  <c r="H224" i="2"/>
  <c r="H223" i="2" s="1"/>
  <c r="D224" i="2"/>
  <c r="D223" i="2" s="1"/>
  <c r="G224" i="2"/>
  <c r="G223" i="2" s="1"/>
  <c r="H180" i="2"/>
  <c r="D180" i="2"/>
  <c r="G202" i="2"/>
  <c r="G180" i="2" s="1"/>
  <c r="F180" i="2"/>
  <c r="E180" i="2"/>
  <c r="F142" i="2"/>
  <c r="G142" i="2"/>
  <c r="H77" i="2"/>
  <c r="H16" i="2" s="1"/>
  <c r="H17" i="2"/>
  <c r="F77" i="2"/>
  <c r="F16" i="2" s="1"/>
  <c r="F17" i="2"/>
  <c r="D90" i="2"/>
  <c r="F131" i="2"/>
  <c r="F106" i="2" s="1"/>
  <c r="H23" i="2"/>
  <c r="H9" i="2" s="1"/>
  <c r="D23" i="2"/>
  <c r="D9" i="2" s="1"/>
  <c r="D17" i="2"/>
  <c r="H90" i="2"/>
  <c r="H142" i="2"/>
  <c r="D142" i="2"/>
  <c r="D106" i="2"/>
  <c r="E142" i="2"/>
  <c r="H106" i="2"/>
  <c r="E106" i="2"/>
  <c r="G106" i="2"/>
  <c r="G90" i="2"/>
  <c r="F90" i="2"/>
  <c r="G17" i="2"/>
  <c r="G77" i="2"/>
  <c r="G16" i="2" s="1"/>
  <c r="E77" i="2"/>
  <c r="E16" i="2" s="1"/>
  <c r="E17" i="2"/>
  <c r="E23" i="2"/>
  <c r="G23" i="2"/>
  <c r="G9" i="2" s="1"/>
  <c r="C102" i="1"/>
  <c r="F102" i="1"/>
  <c r="E102" i="1"/>
  <c r="D102" i="1"/>
  <c r="C202" i="2"/>
  <c r="C180" i="2" s="1"/>
  <c r="C131" i="2"/>
  <c r="C106" i="2" s="1"/>
  <c r="C275" i="2"/>
  <c r="C14" i="2" s="1"/>
  <c r="C162" i="2"/>
  <c r="C142" i="2" s="1"/>
  <c r="C13" i="2"/>
  <c r="C253" i="2"/>
  <c r="C12" i="2" s="1"/>
  <c r="C288" i="2"/>
  <c r="C287" i="2" s="1"/>
  <c r="C286" i="2"/>
  <c r="C285" i="2" s="1"/>
  <c r="C284" i="2" s="1"/>
  <c r="C23" i="2"/>
  <c r="C9" i="2" s="1"/>
  <c r="C90" i="2"/>
  <c r="C223" i="2"/>
  <c r="F52" i="1"/>
  <c r="E52" i="1"/>
  <c r="D52" i="1"/>
  <c r="C52" i="1"/>
  <c r="D14" i="1"/>
  <c r="C14" i="1"/>
  <c r="C17" i="2"/>
  <c r="E8" i="1" l="1"/>
  <c r="E7" i="1" s="1"/>
  <c r="D8" i="1"/>
  <c r="D7" i="1" s="1"/>
  <c r="D89" i="2"/>
  <c r="D88" i="2" s="1"/>
  <c r="D52" i="2" s="1"/>
  <c r="D44" i="2" s="1"/>
  <c r="D43" i="2" s="1"/>
  <c r="D22" i="2" s="1"/>
  <c r="D21" i="2" s="1"/>
  <c r="F8" i="1"/>
  <c r="F7" i="1"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 i="1"/>
  <c r="C7" i="1" s="1"/>
  <c r="C89" i="2"/>
  <c r="C88" i="2" s="1"/>
  <c r="C52" i="2" s="1"/>
  <c r="C44" i="2" s="1"/>
  <c r="C43" i="2" s="1"/>
  <c r="C86" i="2" s="1"/>
  <c r="E8" i="2" l="1"/>
  <c r="E7" i="2" s="1"/>
  <c r="D86" i="2"/>
  <c r="D10" i="2"/>
  <c r="D20" i="2" s="1"/>
  <c r="D19" i="2" s="1"/>
  <c r="F8" i="2"/>
  <c r="F7" i="2" s="1"/>
  <c r="F86" i="2"/>
  <c r="E22" i="2"/>
  <c r="E21" i="2" s="1"/>
  <c r="F22" i="2"/>
  <c r="F21" i="2" s="1"/>
  <c r="H22" i="2"/>
  <c r="H21" i="2" s="1"/>
  <c r="H10" i="2"/>
  <c r="H20" i="2" s="1"/>
  <c r="H19" i="2" s="1"/>
  <c r="E86" i="2"/>
  <c r="G10" i="2"/>
  <c r="G8" i="2" s="1"/>
  <c r="G7" i="2" s="1"/>
  <c r="G22" i="2"/>
  <c r="G21" i="2" s="1"/>
  <c r="E20" i="2"/>
  <c r="E19" i="2" s="1"/>
  <c r="C10" i="2"/>
  <c r="C22" i="2"/>
  <c r="C21" i="2" s="1"/>
  <c r="D8" i="2" l="1"/>
  <c r="D7" i="2" s="1"/>
  <c r="H8" i="2"/>
  <c r="H7" i="2" s="1"/>
  <c r="G20" i="2"/>
  <c r="G19" i="2" s="1"/>
  <c r="C20" i="2"/>
  <c r="C19" i="2" s="1"/>
  <c r="C8" i="2"/>
  <c r="C7" i="2" s="1"/>
</calcChain>
</file>

<file path=xl/sharedStrings.xml><?xml version="1.0" encoding="utf-8"?>
<sst xmlns="http://schemas.openxmlformats.org/spreadsheetml/2006/main" count="649" uniqueCount="528">
  <si>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</si>
  <si>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</si>
  <si>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</si>
  <si>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</si>
  <si>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</si>
  <si>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</si>
  <si>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</si>
  <si>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</si>
  <si>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</si>
  <si>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</si>
  <si>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</si>
  <si>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</si>
  <si>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</si>
  <si>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</si>
  <si>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</si>
  <si>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</si>
  <si>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</si>
  <si>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</si>
  <si>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</si>
  <si>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</si>
  <si>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</si>
  <si>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</si>
  <si>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</si>
  <si>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</si>
  <si>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</si>
  <si>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</si>
  <si>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</si>
  <si>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</si>
  <si>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</si>
  <si>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</si>
  <si>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</si>
  <si>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</si>
  <si>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</si>
  <si>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</si>
  <si>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</si>
  <si>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</si>
  <si>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</si>
  <si>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</si>
  <si>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</si>
  <si>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</si>
  <si>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</si>
  <si>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</si>
  <si>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</si>
  <si>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</si>
  <si>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</si>
  <si>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</si>
  <si>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</si>
  <si>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</si>
  <si>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</si>
  <si>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</si>
  <si>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</si>
  <si>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</si>
  <si>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</si>
  <si>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</si>
  <si>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</si>
  <si>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</si>
  <si>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</si>
  <si>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</si>
  <si>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</si>
  <si>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</si>
  <si>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</si>
  <si>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</si>
  <si>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</si>
  <si>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</si>
  <si>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</si>
  <si>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</si>
  <si>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</si>
  <si>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</si>
  <si>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</si>
  <si>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</si>
  <si>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</si>
  <si>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</si>
  <si>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</si>
  <si>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</si>
  <si>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</si>
  <si>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</si>
  <si>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</si>
  <si>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</si>
  <si>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</si>
  <si>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</si>
  <si>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</si>
  <si>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</si>
  <si>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</si>
  <si>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</si>
  <si>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</si>
  <si>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</si>
  <si>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</si>
  <si>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</si>
  <si>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</si>
  <si>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</si>
  <si>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</si>
  <si>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</si>
  <si>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</si>
  <si>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</si>
  <si>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</si>
  <si>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</si>
  <si>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</si>
  <si>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</si>
  <si>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</si>
  <si>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</si>
  <si>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</si>
  <si>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</si>
  <si>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</si>
  <si>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</si>
  <si>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</si>
  <si>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</si>
  <si>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</si>
  <si>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</si>
  <si>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</si>
  <si>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</si>
  <si>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</si>
  <si>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</si>
  <si>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</si>
  <si>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</si>
  <si>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</si>
  <si>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</si>
  <si>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</si>
  <si>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</si>
  <si>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</si>
  <si>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</si>
  <si>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</si>
  <si>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</si>
  <si>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</si>
  <si>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</si>
  <si>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</si>
  <si>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</si>
  <si>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</si>
  <si>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</si>
  <si>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</si>
  <si>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</si>
  <si>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</si>
  <si>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</si>
  <si>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</si>
  <si>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</si>
  <si>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</si>
  <si>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</si>
  <si>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</si>
  <si>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</si>
  <si>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</si>
  <si>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</si>
  <si>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</si>
  <si>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</si>
  <si>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</si>
  <si>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</si>
  <si>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</si>
  <si>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</si>
  <si>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</si>
  <si>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</si>
  <si>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</si>
  <si>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</si>
  <si>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</si>
  <si>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</si>
  <si>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</si>
  <si>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</si>
  <si>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</si>
  <si>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</si>
  <si>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</si>
  <si>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</si>
  <si>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</si>
  <si>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</si>
  <si>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</si>
  <si>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</si>
  <si>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</si>
  <si>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</si>
  <si>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</si>
  <si>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</si>
  <si>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</si>
  <si>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</si>
  <si>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</si>
  <si>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</si>
  <si>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</si>
  <si>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</si>
  <si>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</si>
  <si>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</si>
  <si>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</si>
  <si>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</si>
  <si>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</si>
  <si>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</si>
  <si>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</si>
  <si>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</si>
  <si>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</si>
  <si>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</si>
  <si>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</si>
  <si>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</si>
  <si>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</si>
  <si>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</si>
  <si>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</si>
  <si>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</si>
  <si>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</si>
  <si>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</si>
  <si>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</si>
  <si>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</si>
  <si>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</si>
  <si>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</si>
  <si>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</si>
  <si>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</si>
  <si>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</si>
  <si>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</si>
  <si>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</si>
  <si>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</si>
  <si>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</si>
  <si>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</si>
  <si>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</si>
  <si>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</si>
  <si>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</si>
  <si>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</si>
  <si>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</si>
  <si>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</si>
  <si>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</si>
  <si>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</si>
  <si>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</si>
  <si>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</si>
  <si>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</si>
  <si>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</si>
  <si>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</si>
  <si>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</si>
  <si>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</si>
  <si>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</si>
  <si>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</si>
  <si>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</si>
  <si>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</si>
  <si>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</si>
  <si>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</si>
  <si>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</si>
  <si>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</si>
  <si>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</si>
  <si>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</si>
  <si>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</si>
  <si>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</si>
  <si>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</si>
  <si>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</si>
  <si>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</si>
  <si>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</si>
  <si>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</si>
  <si>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</si>
  <si>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</si>
  <si>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</si>
  <si>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</si>
  <si>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</si>
  <si>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</si>
  <si>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</si>
  <si>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</si>
  <si>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</si>
  <si>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</si>
  <si>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</si>
  <si>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</si>
  <si>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</si>
  <si>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</si>
  <si>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</si>
  <si>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</si>
  <si>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</si>
  <si>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</si>
  <si>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</si>
  <si>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</si>
  <si>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</si>
  <si>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</si>
  <si>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</si>
  <si>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</si>
  <si>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</si>
  <si>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</si>
  <si>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</si>
  <si>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</si>
  <si>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</si>
  <si>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</si>
  <si>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</si>
  <si>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</si>
  <si>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</si>
  <si>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</si>
  <si>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</si>
  <si>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</si>
  <si>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</si>
  <si>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</si>
  <si>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</si>
  <si>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</si>
  <si>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</si>
  <si>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</si>
  <si>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</si>
  <si>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</si>
  <si>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</si>
  <si>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</si>
  <si>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</si>
  <si>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</si>
  <si>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</si>
  <si>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</si>
  <si>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</si>
  <si>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</si>
  <si>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</si>
  <si>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</si>
  <si>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</si>
  <si>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</si>
  <si>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</si>
  <si>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</si>
  <si>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</si>
  <si>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</si>
  <si>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</si>
  <si>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</si>
  <si>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</si>
  <si>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</si>
  <si>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</si>
  <si>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</si>
  <si>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</si>
  <si>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</si>
  <si>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</si>
  <si>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</si>
  <si>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</si>
  <si>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</si>
  <si>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</si>
  <si>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</si>
  <si>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</si>
  <si>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</si>
  <si>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</si>
  <si>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</si>
  <si>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</si>
  <si>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</si>
  <si>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</si>
  <si>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</si>
  <si>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</si>
  <si>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</si>
  <si>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</si>
  <si>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</si>
  <si>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</si>
  <si>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</si>
  <si>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</si>
  <si>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</si>
  <si>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</si>
  <si>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</si>
  <si>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</si>
  <si>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</si>
  <si>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</si>
  <si>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</si>
  <si>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</si>
  <si>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</si>
  <si>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</si>
  <si>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</si>
  <si>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</si>
  <si>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</si>
  <si>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</si>
  <si>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</si>
  <si>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</si>
  <si>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</si>
  <si>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</si>
  <si>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</si>
  <si>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</si>
  <si>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</si>
  <si>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</si>
  <si>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</si>
  <si>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</si>
  <si>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</si>
  <si>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</si>
  <si>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</si>
  <si>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</si>
  <si>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</si>
  <si>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</si>
  <si>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</si>
  <si>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</si>
  <si>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</si>
  <si>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</si>
  <si>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</si>
  <si>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</si>
  <si>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</si>
  <si>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</si>
  <si>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</si>
  <si>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</si>
  <si>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</si>
  <si>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</si>
  <si>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</si>
  <si>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</si>
  <si>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</si>
  <si>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</si>
  <si>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</si>
  <si>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</si>
  <si>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</si>
  <si>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</si>
  <si>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</si>
  <si>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</si>
  <si>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</si>
  <si>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</si>
  <si>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</si>
  <si>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</si>
  <si>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</si>
  <si>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</si>
  <si>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</si>
  <si>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</si>
  <si>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</si>
  <si>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</si>
  <si>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</si>
  <si>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</si>
  <si>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</si>
  <si>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</si>
  <si>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</si>
  <si>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</si>
  <si>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</si>
  <si>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</si>
  <si>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</si>
  <si>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</si>
  <si>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</si>
  <si>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</si>
  <si>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</si>
  <si>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</si>
  <si>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</si>
  <si>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</si>
  <si>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</si>
  <si>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</si>
  <si>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</si>
  <si>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</si>
  <si>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</si>
  <si>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</si>
  <si>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</si>
  <si>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</si>
  <si>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</si>
  <si>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</si>
  <si>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</si>
  <si>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</si>
  <si>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</si>
  <si>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</si>
  <si>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</si>
  <si>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</si>
  <si>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</si>
  <si>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</si>
  <si>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</si>
  <si>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</si>
  <si>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</si>
  <si>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</si>
  <si>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</si>
  <si>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</si>
  <si>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</si>
  <si>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</si>
  <si>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</si>
  <si>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</si>
  <si>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</si>
  <si>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</si>
  <si>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</si>
  <si>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</si>
  <si>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</si>
  <si>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</si>
  <si>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</si>
  <si>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</si>
  <si>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</si>
  <si>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</si>
  <si>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</si>
  <si>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</si>
  <si>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</si>
  <si>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</si>
  <si>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</si>
  <si>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</si>
  <si>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</si>
  <si>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</si>
  <si>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</si>
  <si>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</si>
  <si>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</si>
  <si>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</si>
  <si>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</si>
  <si>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</si>
  <si>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</si>
  <si>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</si>
  <si>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</si>
  <si>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</si>
  <si>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</si>
  <si>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</si>
  <si>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</si>
  <si>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</si>
  <si>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</si>
  <si>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</si>
  <si>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</si>
  <si>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</si>
  <si>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</si>
  <si>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</si>
  <si>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</si>
  <si>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</si>
  <si>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</si>
  <si>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</si>
  <si>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</si>
  <si>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</si>
  <si>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</si>
  <si>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</si>
  <si>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</si>
  <si>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</si>
  <si>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</si>
  <si>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</si>
  <si>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</si>
  <si>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</si>
  <si>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</si>
  <si>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</si>
  <si>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</si>
  <si>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</si>
  <si>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</si>
  <si>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</si>
  <si>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</si>
  <si>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</si>
  <si>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</si>
  <si>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</si>
  <si>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</si>
  <si>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</si>
  <si>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</si>
  <si>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</si>
  <si>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</si>
  <si>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</si>
  <si>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</si>
  <si>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</si>
  <si>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</si>
  <si>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</si>
  <si>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</si>
  <si>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</si>
  <si>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</si>
  <si>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</si>
  <si>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</si>
  <si>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</si>
  <si>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</si>
  <si>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</si>
  <si>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</si>
  <si>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</si>
  <si>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</si>
  <si>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</si>
  <si>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</si>
  <si>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</si>
  <si>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</si>
  <si>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</si>
  <si>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</si>
  <si>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</si>
  <si>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</si>
  <si>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</si>
  <si>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CASA DE ASIGURARI DE SANATATE HUNEDOARA</t>
  </si>
  <si>
    <t>EC. DAVID ADRIAN NICOLAE</t>
  </si>
  <si>
    <t>DR.EC. CUMPANASU ECATERINA</t>
  </si>
  <si>
    <t xml:space="preserve">       DIRECTOR GENERAL,</t>
  </si>
  <si>
    <t xml:space="preserve">          DIRECTOR ECONOMIC,</t>
  </si>
  <si>
    <t>CONT DE EXECUTIE VENITURI AUGUST 2023</t>
  </si>
  <si>
    <t>CONT DE EXECUTIE CHELTUIELI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</si>
</sst>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_ ;[Red]\-#,##0.00\ "/>
  </numFmts>
  <fonts count="28">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b/>
      <sz val="10"/>
      <color theme="0"/>
      <name val="Palatino Linotype"/>
      <family val="1"/>
      <charset val="238"/>
    </font>
    <font>
      <b/>
      <sz val="10"/>
      <color rgb="FFC00000"/>
      <name val="Palatino Linotyp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1">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9" fontId="9" fillId="2" borderId="1" xfId="0" applyNumberFormat="1" applyFont="1" applyFill="1" applyBorder="1" applyAlignment="1">
      <alignment vertical="top" wrapText="1"/>
    </xf>
    <xf numFmtId="4" fontId="9" fillId="2" borderId="1" xfId="2" applyNumberFormat="1" applyFont="1" applyFill="1" applyBorder="1" applyAlignment="1" applyProtection="1">
      <alignment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0" fontId="11" fillId="2" borderId="0" xfId="0" applyFont="1" applyFill="1"/>
    <xf numFmtId="3" fontId="11" fillId="2" borderId="1" xfId="3" applyNumberFormat="1" applyFont="1" applyFill="1" applyBorder="1" applyAlignment="1" applyProtection="1">
      <alignment horizontal="right" wrapText="1"/>
    </xf>
    <xf numFmtId="49" fontId="9" fillId="2" borderId="0" xfId="0" applyNumberFormat="1" applyFont="1" applyFill="1" applyBorder="1" applyAlignment="1">
      <alignment vertical="top" wrapText="1"/>
    </xf>
    <xf numFmtId="165" fontId="9" fillId="2" borderId="1" xfId="2" applyNumberFormat="1" applyFont="1" applyFill="1" applyBorder="1" applyAlignment="1"/>
    <xf numFmtId="4" fontId="4" fillId="0" borderId="1" xfId="0" applyNumberFormat="1" applyFont="1" applyFill="1" applyBorder="1"/>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4" fontId="12" fillId="0" borderId="1" xfId="0" applyNumberFormat="1" applyFont="1" applyFill="1" applyBorder="1" applyAlignment="1">
      <alignment horizontal="right"/>
    </xf>
    <xf numFmtId="4" fontId="9" fillId="2" borderId="1" xfId="0" applyNumberFormat="1" applyFont="1" applyFill="1" applyBorder="1"/>
    <xf numFmtId="4" fontId="9" fillId="0" borderId="1" xfId="0" applyNumberFormat="1" applyFont="1" applyFill="1" applyBorder="1" applyProtection="1"/>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3" fillId="0" borderId="0" xfId="0" applyFont="1" applyFill="1" applyBorder="1" applyAlignment="1">
      <alignment horizontal="center"/>
    </xf>
    <xf numFmtId="3" fontId="26" fillId="3" borderId="1" xfId="3" applyNumberFormat="1" applyFont="1" applyFill="1" applyBorder="1" applyAlignment="1" applyProtection="1">
      <alignment horizontal="right" wrapText="1"/>
    </xf>
    <xf numFmtId="3" fontId="27" fillId="3" borderId="1" xfId="3" applyNumberFormat="1" applyFont="1" applyFill="1" applyBorder="1" applyAlignment="1" applyProtection="1">
      <alignment horizontal="right" wrapText="1"/>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T156"/>
  <sheetViews>
    <sheetView zoomScaleNormal="100" workbookViewId="0">
      <pane xSplit="3" ySplit="6" topLeftCell="D7" activePane="bottomRight" state="frozen"/>
      <selection activeCell="B2" sqref="B2"/>
      <selection pane="topRight" activeCell="B2" sqref="B2"/>
      <selection pane="bottomLeft" activeCell="B2" sqref="B2"/>
      <selection pane="bottomRight" activeCell="E7" sqref="E7"/>
    </sheetView>
  </sheetViews>
  <sheetFormatPr defaultRowHeight="12.75"/>
  <cols>
    <col min="1" max="1" width="11" style="39" customWidth="1"/>
    <col min="2" max="2" width="59.5703125" style="11" customWidth="1"/>
    <col min="3" max="3" width="15" style="40" customWidth="1"/>
    <col min="4" max="4" width="14.140625" style="40" customWidth="1"/>
    <col min="5" max="6" width="18" style="11"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08" t="s">
        <v>526</v>
      </c>
      <c r="C1" s="98"/>
      <c r="D1" s="98"/>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row>
    <row r="2" spans="1:176">
      <c r="B2" s="1" t="s">
        <v>521</v>
      </c>
      <c r="C2" s="98"/>
      <c r="D2" s="98"/>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row>
    <row r="3" spans="1:176">
      <c r="A3" s="2"/>
      <c r="B3" s="3"/>
      <c r="C3" s="31"/>
      <c r="D3" s="31"/>
      <c r="E3" s="31"/>
      <c r="F3" s="31"/>
      <c r="FG3" s="5"/>
    </row>
    <row r="4" spans="1:176" ht="12.75" customHeight="1">
      <c r="B4" s="6"/>
      <c r="C4" s="31"/>
      <c r="D4" s="31"/>
      <c r="E4" s="31"/>
      <c r="F4" s="7" t="s">
        <v>0</v>
      </c>
      <c r="G4" s="137"/>
      <c r="H4" s="137"/>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8"/>
      <c r="EJ4" s="138"/>
      <c r="EK4" s="138"/>
      <c r="EL4" s="138"/>
      <c r="EM4" s="138"/>
      <c r="EN4" s="136"/>
      <c r="EO4" s="136"/>
      <c r="EP4" s="136"/>
      <c r="EQ4" s="136"/>
      <c r="ER4" s="136"/>
      <c r="ES4" s="136"/>
      <c r="ET4" s="136"/>
      <c r="EU4" s="136"/>
      <c r="EV4" s="136"/>
      <c r="EW4" s="136"/>
      <c r="EX4" s="136"/>
      <c r="EY4" s="136"/>
      <c r="EZ4" s="136"/>
      <c r="FA4" s="136"/>
      <c r="FB4" s="136"/>
      <c r="FC4" s="136"/>
      <c r="FD4" s="136"/>
      <c r="FE4" s="136"/>
      <c r="FF4" s="136"/>
      <c r="FG4" s="136"/>
    </row>
    <row r="5" spans="1:176"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97"/>
      <c r="D6" s="97"/>
      <c r="E6" s="97"/>
      <c r="F6" s="97"/>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99" t="s">
        <v>7</v>
      </c>
      <c r="B7" s="17" t="s">
        <v>8</v>
      </c>
      <c r="C7" s="18">
        <f t="shared" ref="C7:F7" si="0">+C8+C66+C110+C95+C90</f>
        <v>558728310</v>
      </c>
      <c r="D7" s="18">
        <f t="shared" si="0"/>
        <v>463242310</v>
      </c>
      <c r="E7" s="18">
        <f t="shared" si="0"/>
        <v>341236339.98000002</v>
      </c>
      <c r="F7" s="18">
        <f t="shared" si="0"/>
        <v>36262136.530000001</v>
      </c>
      <c r="G7" s="31"/>
      <c r="H7" s="31"/>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31"/>
      <c r="FI7" s="31"/>
    </row>
    <row r="8" spans="1:176">
      <c r="A8" s="99" t="s">
        <v>9</v>
      </c>
      <c r="B8" s="17" t="s">
        <v>10</v>
      </c>
      <c r="C8" s="18">
        <f t="shared" ref="C8:F8" si="1">+C14+C52+C9</f>
        <v>488692000</v>
      </c>
      <c r="D8" s="18">
        <f t="shared" si="1"/>
        <v>393206000</v>
      </c>
      <c r="E8" s="18">
        <f t="shared" si="1"/>
        <v>272990544.98000002</v>
      </c>
      <c r="F8" s="18">
        <f t="shared" si="1"/>
        <v>34843671.530000001</v>
      </c>
      <c r="G8" s="31"/>
      <c r="H8" s="31"/>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31"/>
      <c r="FI8" s="31"/>
    </row>
    <row r="9" spans="1:176">
      <c r="A9" s="99" t="s">
        <v>11</v>
      </c>
      <c r="B9" s="17" t="s">
        <v>12</v>
      </c>
      <c r="C9" s="18">
        <f t="shared" ref="C9:F9" si="2">+C10+C11+C12+C13</f>
        <v>0</v>
      </c>
      <c r="D9" s="18">
        <f t="shared" si="2"/>
        <v>0</v>
      </c>
      <c r="E9" s="18">
        <f t="shared" si="2"/>
        <v>0</v>
      </c>
      <c r="F9" s="18">
        <f t="shared" si="2"/>
        <v>0</v>
      </c>
      <c r="G9" s="31"/>
      <c r="H9" s="3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31"/>
      <c r="FI9" s="31"/>
    </row>
    <row r="10" spans="1:176" ht="38.25">
      <c r="A10" s="99" t="s">
        <v>13</v>
      </c>
      <c r="B10" s="17" t="s">
        <v>14</v>
      </c>
      <c r="C10" s="18"/>
      <c r="D10" s="18"/>
      <c r="E10" s="19"/>
      <c r="F10" s="19"/>
      <c r="G10" s="31"/>
      <c r="H10" s="31"/>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31"/>
      <c r="FI10" s="31"/>
    </row>
    <row r="11" spans="1:176" ht="38.25">
      <c r="A11" s="99" t="s">
        <v>15</v>
      </c>
      <c r="B11" s="17" t="s">
        <v>16</v>
      </c>
      <c r="C11" s="18"/>
      <c r="D11" s="18"/>
      <c r="E11" s="19"/>
      <c r="F11" s="19"/>
      <c r="G11" s="31"/>
      <c r="H11" s="31"/>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31"/>
      <c r="FI11" s="31"/>
    </row>
    <row r="12" spans="1:176" ht="25.5">
      <c r="A12" s="99" t="s">
        <v>17</v>
      </c>
      <c r="B12" s="17" t="s">
        <v>18</v>
      </c>
      <c r="C12" s="18"/>
      <c r="D12" s="18"/>
      <c r="E12" s="19"/>
      <c r="F12" s="19"/>
      <c r="G12" s="31"/>
      <c r="H12" s="31"/>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31"/>
      <c r="FI12" s="31"/>
    </row>
    <row r="13" spans="1:176" ht="38.25">
      <c r="A13" s="99" t="s">
        <v>19</v>
      </c>
      <c r="B13" s="17" t="s">
        <v>20</v>
      </c>
      <c r="C13" s="18"/>
      <c r="D13" s="18"/>
      <c r="E13" s="19"/>
      <c r="F13" s="19"/>
      <c r="G13" s="31"/>
      <c r="H13" s="31"/>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31"/>
      <c r="FI13" s="31"/>
    </row>
    <row r="14" spans="1:176">
      <c r="A14" s="99" t="s">
        <v>21</v>
      </c>
      <c r="B14" s="17" t="s">
        <v>22</v>
      </c>
      <c r="C14" s="18">
        <f t="shared" ref="C14:F14" si="3">+C15+C28</f>
        <v>488069000</v>
      </c>
      <c r="D14" s="18">
        <f t="shared" si="3"/>
        <v>392910000</v>
      </c>
      <c r="E14" s="18">
        <f t="shared" si="3"/>
        <v>272657408.31</v>
      </c>
      <c r="F14" s="18">
        <f t="shared" si="3"/>
        <v>34816332.759999998</v>
      </c>
      <c r="G14" s="31"/>
      <c r="H14" s="31"/>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31"/>
      <c r="FI14" s="31"/>
    </row>
    <row r="15" spans="1:176">
      <c r="A15" s="99" t="s">
        <v>23</v>
      </c>
      <c r="B15" s="17" t="s">
        <v>24</v>
      </c>
      <c r="C15" s="18">
        <f t="shared" ref="C15:F15" si="4">+C16+C24+C27</f>
        <v>25324000</v>
      </c>
      <c r="D15" s="18">
        <f t="shared" si="4"/>
        <v>19049000</v>
      </c>
      <c r="E15" s="18">
        <f t="shared" si="4"/>
        <v>14671250.810000001</v>
      </c>
      <c r="F15" s="18">
        <f t="shared" si="4"/>
        <v>1884014.76</v>
      </c>
      <c r="G15" s="31"/>
      <c r="H15" s="3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31"/>
      <c r="FI15" s="31"/>
    </row>
    <row r="16" spans="1:176" ht="25.5">
      <c r="A16" s="99" t="s">
        <v>25</v>
      </c>
      <c r="B16" s="17" t="s">
        <v>26</v>
      </c>
      <c r="C16" s="18">
        <f t="shared" ref="C16:F16" si="5">C17+C18+C20+C21+C22+C19+C23</f>
        <v>5718000</v>
      </c>
      <c r="D16" s="18">
        <f t="shared" si="5"/>
        <v>4216000</v>
      </c>
      <c r="E16" s="18">
        <f t="shared" si="5"/>
        <v>655963</v>
      </c>
      <c r="F16" s="18">
        <f t="shared" si="5"/>
        <v>64095</v>
      </c>
      <c r="G16" s="31"/>
      <c r="H16" s="31"/>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31"/>
      <c r="FI16" s="31"/>
    </row>
    <row r="17" spans="1:165" s="6" customFormat="1" ht="25.5">
      <c r="A17" s="100" t="s">
        <v>27</v>
      </c>
      <c r="B17" s="20" t="s">
        <v>28</v>
      </c>
      <c r="C17" s="18">
        <v>5718000</v>
      </c>
      <c r="D17" s="18">
        <v>4216000</v>
      </c>
      <c r="E17" s="130">
        <f>54337+135260+1825</f>
        <v>191422</v>
      </c>
      <c r="F17" s="130">
        <v>1825</v>
      </c>
      <c r="G17" s="31"/>
      <c r="H17" s="31"/>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31"/>
      <c r="FI17" s="31"/>
    </row>
    <row r="18" spans="1:165" s="6" customFormat="1" ht="25.5">
      <c r="A18" s="100" t="s">
        <v>29</v>
      </c>
      <c r="B18" s="20" t="s">
        <v>30</v>
      </c>
      <c r="C18" s="18"/>
      <c r="D18" s="18"/>
      <c r="E18" s="130"/>
      <c r="F18" s="130"/>
      <c r="G18" s="31"/>
      <c r="H18" s="31"/>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31"/>
      <c r="FI18" s="31"/>
    </row>
    <row r="19" spans="1:165" s="6" customFormat="1">
      <c r="A19" s="100" t="s">
        <v>31</v>
      </c>
      <c r="B19" s="20" t="s">
        <v>32</v>
      </c>
      <c r="C19" s="18"/>
      <c r="D19" s="18"/>
      <c r="E19" s="130"/>
      <c r="F19" s="130"/>
      <c r="G19" s="31"/>
      <c r="H19" s="31"/>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31"/>
      <c r="FI19" s="31"/>
    </row>
    <row r="20" spans="1:165" s="6" customFormat="1" ht="25.5">
      <c r="A20" s="100" t="s">
        <v>33</v>
      </c>
      <c r="B20" s="20" t="s">
        <v>34</v>
      </c>
      <c r="C20" s="18"/>
      <c r="D20" s="18"/>
      <c r="E20" s="130"/>
      <c r="F20" s="130"/>
      <c r="G20" s="31"/>
      <c r="H20" s="31"/>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31"/>
      <c r="FI20" s="31"/>
    </row>
    <row r="21" spans="1:165" s="6" customFormat="1" ht="25.5">
      <c r="A21" s="100" t="s">
        <v>35</v>
      </c>
      <c r="B21" s="20" t="s">
        <v>36</v>
      </c>
      <c r="C21" s="18"/>
      <c r="D21" s="18"/>
      <c r="E21" s="130"/>
      <c r="F21" s="130"/>
      <c r="G21" s="31"/>
      <c r="H21" s="31"/>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31"/>
      <c r="FI21" s="31"/>
    </row>
    <row r="22" spans="1:165" s="6" customFormat="1" ht="43.5" customHeight="1">
      <c r="A22" s="100" t="s">
        <v>37</v>
      </c>
      <c r="B22" s="101" t="s">
        <v>38</v>
      </c>
      <c r="C22" s="18"/>
      <c r="D22" s="18"/>
      <c r="E22" s="130"/>
      <c r="F22" s="130"/>
      <c r="G22" s="31"/>
      <c r="H22" s="31"/>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31"/>
      <c r="FI22" s="31"/>
    </row>
    <row r="23" spans="1:165" s="6" customFormat="1" ht="43.5" customHeight="1">
      <c r="A23" s="100" t="s">
        <v>39</v>
      </c>
      <c r="B23" s="101" t="s">
        <v>40</v>
      </c>
      <c r="C23" s="18"/>
      <c r="D23" s="18"/>
      <c r="E23" s="130">
        <f>342072+60199+62270</f>
        <v>464541</v>
      </c>
      <c r="F23" s="130">
        <v>62270</v>
      </c>
      <c r="G23" s="31"/>
      <c r="H23" s="31"/>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31"/>
      <c r="FI23" s="31"/>
    </row>
    <row r="24" spans="1:165" s="6" customFormat="1">
      <c r="A24" s="99" t="s">
        <v>41</v>
      </c>
      <c r="B24" s="102" t="s">
        <v>42</v>
      </c>
      <c r="C24" s="21">
        <f t="shared" ref="C24:F24" si="6">C25+C26</f>
        <v>0</v>
      </c>
      <c r="D24" s="21">
        <f t="shared" si="6"/>
        <v>0</v>
      </c>
      <c r="E24" s="21">
        <f t="shared" si="6"/>
        <v>7610</v>
      </c>
      <c r="F24" s="21">
        <f t="shared" si="6"/>
        <v>239</v>
      </c>
      <c r="G24" s="31"/>
      <c r="H24" s="31"/>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31"/>
      <c r="FI24" s="31"/>
    </row>
    <row r="25" spans="1:165" s="6" customFormat="1">
      <c r="A25" s="100" t="s">
        <v>43</v>
      </c>
      <c r="B25" s="101" t="s">
        <v>44</v>
      </c>
      <c r="C25" s="18"/>
      <c r="D25" s="18"/>
      <c r="E25" s="130">
        <f>6051+1320+239</f>
        <v>7610</v>
      </c>
      <c r="F25" s="130">
        <v>239</v>
      </c>
      <c r="G25" s="31"/>
      <c r="H25" s="3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31"/>
      <c r="FI25" s="31"/>
    </row>
    <row r="26" spans="1:165" s="6" customFormat="1" ht="25.5">
      <c r="A26" s="100" t="s">
        <v>45</v>
      </c>
      <c r="B26" s="101" t="s">
        <v>46</v>
      </c>
      <c r="C26" s="18"/>
      <c r="D26" s="18"/>
      <c r="E26" s="130"/>
      <c r="F26" s="130"/>
      <c r="G26" s="31"/>
      <c r="H26" s="31"/>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31"/>
      <c r="FI26" s="31"/>
    </row>
    <row r="27" spans="1:165" s="6" customFormat="1" ht="25.5">
      <c r="A27" s="100" t="s">
        <v>47</v>
      </c>
      <c r="B27" s="101" t="s">
        <v>48</v>
      </c>
      <c r="C27" s="18">
        <v>19606000</v>
      </c>
      <c r="D27" s="18">
        <v>14833000</v>
      </c>
      <c r="E27" s="130">
        <f>10305929.42+1882067.63+1819680.76</f>
        <v>14007677.810000001</v>
      </c>
      <c r="F27" s="130">
        <v>1819680.76</v>
      </c>
      <c r="G27" s="31"/>
      <c r="H27" s="31"/>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31"/>
      <c r="FI27" s="31"/>
    </row>
    <row r="28" spans="1:165" s="6" customFormat="1">
      <c r="A28" s="99" t="s">
        <v>49</v>
      </c>
      <c r="B28" s="17" t="s">
        <v>50</v>
      </c>
      <c r="C28" s="18">
        <f t="shared" ref="C28:F28" si="7">C29+C35+C51+C36+C37+C38+C39+C40+C41+C42+C43+C44+C45+C46+C47+C48+C49+C50</f>
        <v>462745000</v>
      </c>
      <c r="D28" s="18">
        <f t="shared" si="7"/>
        <v>373861000</v>
      </c>
      <c r="E28" s="18">
        <f t="shared" si="7"/>
        <v>257986157.5</v>
      </c>
      <c r="F28" s="18">
        <f t="shared" si="7"/>
        <v>32932318</v>
      </c>
      <c r="G28" s="31"/>
      <c r="H28" s="31"/>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31"/>
      <c r="FI28" s="31"/>
    </row>
    <row r="29" spans="1:165" s="6" customFormat="1" ht="25.5">
      <c r="A29" s="99" t="s">
        <v>51</v>
      </c>
      <c r="B29" s="17" t="s">
        <v>52</v>
      </c>
      <c r="C29" s="18">
        <f t="shared" ref="C29:F29" si="8">C30+C31+C32+C33+C34</f>
        <v>449309000</v>
      </c>
      <c r="D29" s="18">
        <f t="shared" si="8"/>
        <v>361780000</v>
      </c>
      <c r="E29" s="18">
        <f t="shared" si="8"/>
        <v>244739418.5</v>
      </c>
      <c r="F29" s="18">
        <f t="shared" si="8"/>
        <v>32096956</v>
      </c>
      <c r="G29" s="31"/>
      <c r="H29" s="31"/>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31"/>
      <c r="FI29" s="31"/>
    </row>
    <row r="30" spans="1:165" s="6" customFormat="1" ht="25.5">
      <c r="A30" s="100" t="s">
        <v>53</v>
      </c>
      <c r="B30" s="20" t="s">
        <v>54</v>
      </c>
      <c r="C30" s="18">
        <v>449309000</v>
      </c>
      <c r="D30" s="18">
        <v>361780000</v>
      </c>
      <c r="E30" s="130">
        <f>181763804+33776014.5+32076400</f>
        <v>247616218.5</v>
      </c>
      <c r="F30" s="130">
        <v>32076400</v>
      </c>
      <c r="G30" s="31"/>
      <c r="H30" s="3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31"/>
      <c r="FI30" s="31"/>
    </row>
    <row r="31" spans="1:165" s="6" customFormat="1" ht="38.25">
      <c r="A31" s="100" t="s">
        <v>55</v>
      </c>
      <c r="B31" s="103" t="s">
        <v>56</v>
      </c>
      <c r="C31" s="18"/>
      <c r="D31" s="18"/>
      <c r="E31" s="130">
        <f>-111+966+19396</f>
        <v>20251</v>
      </c>
      <c r="F31" s="130">
        <v>19396</v>
      </c>
      <c r="G31" s="31"/>
      <c r="H31" s="3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31"/>
      <c r="FI31" s="31"/>
    </row>
    <row r="32" spans="1:165" s="6" customFormat="1" ht="27.75" customHeight="1">
      <c r="A32" s="100" t="s">
        <v>57</v>
      </c>
      <c r="B32" s="20" t="s">
        <v>58</v>
      </c>
      <c r="C32" s="18"/>
      <c r="D32" s="18"/>
      <c r="E32" s="130"/>
      <c r="F32" s="130"/>
      <c r="G32" s="31"/>
      <c r="H32" s="3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31"/>
      <c r="FI32" s="31"/>
    </row>
    <row r="33" spans="1:165" s="6" customFormat="1">
      <c r="A33" s="100" t="s">
        <v>59</v>
      </c>
      <c r="B33" s="20" t="s">
        <v>60</v>
      </c>
      <c r="C33" s="18"/>
      <c r="D33" s="18"/>
      <c r="E33" s="130">
        <f>-2898906+695+1160</f>
        <v>-2897051</v>
      </c>
      <c r="F33" s="130">
        <v>1160</v>
      </c>
      <c r="G33" s="31"/>
      <c r="H33" s="31"/>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31"/>
      <c r="FI33" s="31"/>
    </row>
    <row r="34" spans="1:165" s="6" customFormat="1">
      <c r="A34" s="100" t="s">
        <v>61</v>
      </c>
      <c r="B34" s="20" t="s">
        <v>62</v>
      </c>
      <c r="C34" s="18"/>
      <c r="D34" s="18"/>
      <c r="E34" s="130"/>
      <c r="F34" s="130"/>
      <c r="G34" s="31"/>
      <c r="H34" s="31"/>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31"/>
      <c r="FI34" s="31"/>
    </row>
    <row r="35" spans="1:165" s="6" customFormat="1">
      <c r="A35" s="100" t="s">
        <v>63</v>
      </c>
      <c r="B35" s="20" t="s">
        <v>64</v>
      </c>
      <c r="C35" s="18"/>
      <c r="D35" s="18"/>
      <c r="E35" s="130"/>
      <c r="F35" s="130"/>
      <c r="G35" s="31"/>
      <c r="H35" s="31"/>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31"/>
      <c r="FI35" s="31"/>
    </row>
    <row r="36" spans="1:165" s="6" customFormat="1" ht="25.5">
      <c r="A36" s="100" t="s">
        <v>65</v>
      </c>
      <c r="B36" s="104" t="s">
        <v>66</v>
      </c>
      <c r="C36" s="18"/>
      <c r="D36" s="18"/>
      <c r="E36" s="130"/>
      <c r="F36" s="130"/>
      <c r="G36" s="31"/>
      <c r="H36" s="31"/>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31"/>
      <c r="FI36" s="31"/>
    </row>
    <row r="37" spans="1:165" s="6" customFormat="1" ht="38.25">
      <c r="A37" s="100" t="s">
        <v>67</v>
      </c>
      <c r="B37" s="20" t="s">
        <v>68</v>
      </c>
      <c r="C37" s="18">
        <v>10000</v>
      </c>
      <c r="D37" s="18">
        <v>9000</v>
      </c>
      <c r="E37" s="130">
        <f>17602+4745+1056</f>
        <v>23403</v>
      </c>
      <c r="F37" s="130">
        <v>1056</v>
      </c>
      <c r="G37" s="31"/>
      <c r="H37" s="31"/>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31"/>
      <c r="FI37" s="31"/>
    </row>
    <row r="38" spans="1:165" s="6" customFormat="1" ht="51">
      <c r="A38" s="100" t="s">
        <v>69</v>
      </c>
      <c r="B38" s="20" t="s">
        <v>70</v>
      </c>
      <c r="C38" s="18"/>
      <c r="D38" s="18"/>
      <c r="E38" s="130">
        <f>228+272</f>
        <v>500</v>
      </c>
      <c r="F38" s="130">
        <v>272</v>
      </c>
      <c r="G38" s="31"/>
      <c r="H38" s="31"/>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31"/>
      <c r="FI38" s="31"/>
    </row>
    <row r="39" spans="1:165" s="6" customFormat="1" ht="38.25">
      <c r="A39" s="100" t="s">
        <v>71</v>
      </c>
      <c r="B39" s="20" t="s">
        <v>72</v>
      </c>
      <c r="C39" s="18"/>
      <c r="D39" s="18"/>
      <c r="E39" s="130"/>
      <c r="F39" s="130"/>
      <c r="G39" s="31"/>
      <c r="H39" s="3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31"/>
      <c r="FI39" s="31"/>
    </row>
    <row r="40" spans="1:165" s="6" customFormat="1" ht="38.25">
      <c r="A40" s="100" t="s">
        <v>73</v>
      </c>
      <c r="B40" s="20" t="s">
        <v>74</v>
      </c>
      <c r="C40" s="18"/>
      <c r="D40" s="18"/>
      <c r="E40" s="130"/>
      <c r="F40" s="130"/>
      <c r="G40" s="31"/>
      <c r="H40" s="3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31"/>
      <c r="FI40" s="31"/>
    </row>
    <row r="41" spans="1:165" s="6" customFormat="1" ht="38.25">
      <c r="A41" s="100" t="s">
        <v>75</v>
      </c>
      <c r="B41" s="20" t="s">
        <v>76</v>
      </c>
      <c r="C41" s="18"/>
      <c r="D41" s="18"/>
      <c r="E41" s="130"/>
      <c r="F41" s="130"/>
      <c r="G41" s="31"/>
      <c r="H41" s="3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31"/>
      <c r="FI41" s="31"/>
    </row>
    <row r="42" spans="1:165" s="6" customFormat="1" ht="38.25">
      <c r="A42" s="100" t="s">
        <v>77</v>
      </c>
      <c r="B42" s="20" t="s">
        <v>78</v>
      </c>
      <c r="C42" s="18"/>
      <c r="D42" s="18"/>
      <c r="E42" s="130"/>
      <c r="F42" s="130"/>
      <c r="G42" s="31"/>
      <c r="H42" s="3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31"/>
      <c r="FI42" s="31"/>
    </row>
    <row r="43" spans="1:165" s="6" customFormat="1" ht="25.5">
      <c r="A43" s="100" t="s">
        <v>79</v>
      </c>
      <c r="B43" s="20" t="s">
        <v>80</v>
      </c>
      <c r="C43" s="18">
        <v>1000</v>
      </c>
      <c r="D43" s="18"/>
      <c r="E43" s="130">
        <f>-612+32</f>
        <v>-580</v>
      </c>
      <c r="F43" s="130">
        <v>32</v>
      </c>
      <c r="G43" s="31"/>
      <c r="H43" s="3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31"/>
      <c r="FI43" s="31"/>
    </row>
    <row r="44" spans="1:165" s="6" customFormat="1" ht="25.5">
      <c r="A44" s="100" t="s">
        <v>81</v>
      </c>
      <c r="B44" s="20" t="s">
        <v>82</v>
      </c>
      <c r="C44" s="18"/>
      <c r="D44" s="18"/>
      <c r="E44" s="130">
        <f>1078+1126+580</f>
        <v>2784</v>
      </c>
      <c r="F44" s="130">
        <v>580</v>
      </c>
      <c r="G44" s="31"/>
      <c r="H44" s="31"/>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31"/>
      <c r="FI44" s="31"/>
    </row>
    <row r="45" spans="1:165" s="6" customFormat="1">
      <c r="A45" s="100" t="s">
        <v>83</v>
      </c>
      <c r="B45" s="20" t="s">
        <v>84</v>
      </c>
      <c r="C45" s="18"/>
      <c r="D45" s="18"/>
      <c r="E45" s="130">
        <f>-101352+5505+40395</f>
        <v>-55452</v>
      </c>
      <c r="F45" s="130">
        <v>40395</v>
      </c>
      <c r="G45" s="31"/>
      <c r="H45" s="31"/>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31"/>
      <c r="FI45" s="31"/>
    </row>
    <row r="46" spans="1:165" s="6" customFormat="1">
      <c r="A46" s="100" t="s">
        <v>85</v>
      </c>
      <c r="B46" s="20" t="s">
        <v>86</v>
      </c>
      <c r="C46" s="18">
        <v>96000</v>
      </c>
      <c r="D46" s="18">
        <v>74000</v>
      </c>
      <c r="E46" s="130">
        <f>75744+2280.5+2795</f>
        <v>80819.5</v>
      </c>
      <c r="F46" s="130">
        <v>2795</v>
      </c>
      <c r="G46" s="31"/>
      <c r="H46" s="31"/>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31"/>
      <c r="FI46" s="31"/>
    </row>
    <row r="47" spans="1:165" s="6" customFormat="1" ht="38.25" customHeight="1">
      <c r="A47" s="105" t="s">
        <v>87</v>
      </c>
      <c r="B47" s="22" t="s">
        <v>88</v>
      </c>
      <c r="C47" s="18"/>
      <c r="D47" s="18"/>
      <c r="E47" s="130"/>
      <c r="F47" s="130"/>
      <c r="G47" s="31"/>
      <c r="H47" s="31"/>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31"/>
      <c r="FI47" s="31"/>
    </row>
    <row r="48" spans="1:165" s="6" customFormat="1">
      <c r="A48" s="105" t="s">
        <v>89</v>
      </c>
      <c r="B48" s="22" t="s">
        <v>90</v>
      </c>
      <c r="C48" s="18"/>
      <c r="D48" s="18"/>
      <c r="E48" s="130"/>
      <c r="F48" s="130"/>
      <c r="G48" s="31"/>
      <c r="H48" s="31"/>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31"/>
      <c r="FI48" s="31"/>
    </row>
    <row r="49" spans="1:176" ht="25.5">
      <c r="A49" s="105" t="s">
        <v>91</v>
      </c>
      <c r="B49" s="22" t="s">
        <v>92</v>
      </c>
      <c r="C49" s="18">
        <v>253000</v>
      </c>
      <c r="D49" s="18">
        <v>188000</v>
      </c>
      <c r="E49" s="130">
        <f>220400+54510+61217</f>
        <v>336127</v>
      </c>
      <c r="F49" s="130">
        <v>61217</v>
      </c>
      <c r="G49" s="31"/>
      <c r="H49" s="31"/>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31"/>
      <c r="FI49" s="31"/>
    </row>
    <row r="50" spans="1:176">
      <c r="A50" s="105" t="s">
        <v>93</v>
      </c>
      <c r="B50" s="22" t="s">
        <v>94</v>
      </c>
      <c r="C50" s="18">
        <v>13076000</v>
      </c>
      <c r="D50" s="18">
        <v>11810000</v>
      </c>
      <c r="E50" s="130">
        <f>10815432.5+1314690+729015</f>
        <v>12859137.5</v>
      </c>
      <c r="F50" s="130">
        <v>729015</v>
      </c>
      <c r="G50" s="31"/>
      <c r="H50" s="31"/>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31"/>
      <c r="FI50" s="31"/>
    </row>
    <row r="51" spans="1:176">
      <c r="A51" s="100" t="s">
        <v>95</v>
      </c>
      <c r="B51" s="20" t="s">
        <v>96</v>
      </c>
      <c r="C51" s="18"/>
      <c r="D51" s="18"/>
      <c r="E51" s="130"/>
      <c r="F51" s="130"/>
      <c r="G51" s="31"/>
      <c r="H51" s="31"/>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31"/>
      <c r="FI51" s="31"/>
    </row>
    <row r="52" spans="1:176">
      <c r="A52" s="99" t="s">
        <v>97</v>
      </c>
      <c r="B52" s="17" t="s">
        <v>98</v>
      </c>
      <c r="C52" s="18">
        <f t="shared" ref="C52:F52" si="9">+C53+C58</f>
        <v>623000</v>
      </c>
      <c r="D52" s="18">
        <f t="shared" si="9"/>
        <v>296000</v>
      </c>
      <c r="E52" s="18">
        <f t="shared" si="9"/>
        <v>333136.67000000004</v>
      </c>
      <c r="F52" s="18">
        <f t="shared" si="9"/>
        <v>27338.77</v>
      </c>
      <c r="G52" s="31"/>
      <c r="H52" s="31"/>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31"/>
      <c r="FI52" s="31"/>
    </row>
    <row r="53" spans="1:176">
      <c r="A53" s="99" t="s">
        <v>99</v>
      </c>
      <c r="B53" s="17" t="s">
        <v>100</v>
      </c>
      <c r="C53" s="18">
        <f t="shared" ref="C53:F53" si="10">+C54+C56</f>
        <v>0</v>
      </c>
      <c r="D53" s="18">
        <f t="shared" si="10"/>
        <v>0</v>
      </c>
      <c r="E53" s="18">
        <f t="shared" si="10"/>
        <v>0</v>
      </c>
      <c r="F53" s="18">
        <f t="shared" si="10"/>
        <v>0</v>
      </c>
      <c r="G53" s="31"/>
      <c r="H53" s="31"/>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31"/>
      <c r="FI53" s="31"/>
    </row>
    <row r="54" spans="1:176">
      <c r="A54" s="99" t="s">
        <v>101</v>
      </c>
      <c r="B54" s="17" t="s">
        <v>102</v>
      </c>
      <c r="C54" s="18">
        <f t="shared" ref="C54:F54" si="11">+C55</f>
        <v>0</v>
      </c>
      <c r="D54" s="18">
        <f t="shared" si="11"/>
        <v>0</v>
      </c>
      <c r="E54" s="18">
        <f t="shared" si="11"/>
        <v>0</v>
      </c>
      <c r="F54" s="18">
        <f t="shared" si="11"/>
        <v>0</v>
      </c>
      <c r="G54" s="31"/>
      <c r="H54" s="31"/>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31"/>
      <c r="FI54" s="31"/>
    </row>
    <row r="55" spans="1:176">
      <c r="A55" s="100" t="s">
        <v>103</v>
      </c>
      <c r="B55" s="20" t="s">
        <v>104</v>
      </c>
      <c r="C55" s="18"/>
      <c r="D55" s="18"/>
      <c r="E55" s="130"/>
      <c r="F55" s="130"/>
      <c r="G55" s="31"/>
      <c r="H55" s="31"/>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31"/>
      <c r="FI55" s="31"/>
    </row>
    <row r="56" spans="1:176">
      <c r="A56" s="99" t="s">
        <v>105</v>
      </c>
      <c r="B56" s="17" t="s">
        <v>106</v>
      </c>
      <c r="C56" s="18">
        <f t="shared" ref="C56:F56" si="12">+C57</f>
        <v>0</v>
      </c>
      <c r="D56" s="18">
        <f t="shared" si="12"/>
        <v>0</v>
      </c>
      <c r="E56" s="18">
        <f t="shared" si="12"/>
        <v>0</v>
      </c>
      <c r="F56" s="18">
        <f t="shared" si="12"/>
        <v>0</v>
      </c>
      <c r="G56" s="31"/>
      <c r="H56" s="31"/>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31"/>
      <c r="FI56" s="31"/>
    </row>
    <row r="57" spans="1:176">
      <c r="A57" s="100" t="s">
        <v>107</v>
      </c>
      <c r="B57" s="20" t="s">
        <v>108</v>
      </c>
      <c r="C57" s="18"/>
      <c r="D57" s="18"/>
      <c r="E57" s="130"/>
      <c r="F57" s="130"/>
      <c r="G57" s="31"/>
      <c r="H57" s="31"/>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31"/>
      <c r="FI57" s="31"/>
    </row>
    <row r="58" spans="1:176" s="24" customFormat="1">
      <c r="A58" s="106" t="s">
        <v>109</v>
      </c>
      <c r="B58" s="17" t="s">
        <v>110</v>
      </c>
      <c r="C58" s="18">
        <f t="shared" ref="C58:F58" si="13">+C59+C64</f>
        <v>623000</v>
      </c>
      <c r="D58" s="18">
        <f t="shared" si="13"/>
        <v>296000</v>
      </c>
      <c r="E58" s="18">
        <f t="shared" si="13"/>
        <v>333136.67000000004</v>
      </c>
      <c r="F58" s="18">
        <f t="shared" si="13"/>
        <v>27338.77</v>
      </c>
      <c r="G58" s="4"/>
      <c r="H58" s="31"/>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3"/>
      <c r="FK58" s="23"/>
      <c r="FL58" s="23"/>
      <c r="FM58" s="23"/>
      <c r="FN58" s="23"/>
      <c r="FO58" s="23"/>
      <c r="FP58" s="23"/>
      <c r="FQ58" s="23"/>
      <c r="FR58" s="23"/>
      <c r="FS58" s="23"/>
      <c r="FT58" s="23"/>
    </row>
    <row r="59" spans="1:176">
      <c r="A59" s="99" t="s">
        <v>111</v>
      </c>
      <c r="B59" s="17" t="s">
        <v>112</v>
      </c>
      <c r="C59" s="18">
        <f t="shared" ref="C59:F59" si="14">C63+C61+C62+C60</f>
        <v>623000</v>
      </c>
      <c r="D59" s="18">
        <f t="shared" si="14"/>
        <v>296000</v>
      </c>
      <c r="E59" s="18">
        <f t="shared" si="14"/>
        <v>333136.67000000004</v>
      </c>
      <c r="F59" s="18">
        <f t="shared" si="14"/>
        <v>27338.77</v>
      </c>
      <c r="G59" s="31"/>
      <c r="H59" s="31"/>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31"/>
      <c r="FI59" s="31"/>
    </row>
    <row r="60" spans="1:176">
      <c r="A60" s="99" t="s">
        <v>113</v>
      </c>
      <c r="B60" s="17" t="s">
        <v>114</v>
      </c>
      <c r="C60" s="18">
        <v>108000</v>
      </c>
      <c r="D60" s="18">
        <v>53000</v>
      </c>
      <c r="E60" s="18">
        <f>26122+1889</f>
        <v>28011</v>
      </c>
      <c r="F60" s="18">
        <v>1889</v>
      </c>
      <c r="G60" s="31"/>
      <c r="H60" s="3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31"/>
      <c r="FI60" s="31"/>
    </row>
    <row r="61" spans="1:176">
      <c r="A61" s="25" t="s">
        <v>115</v>
      </c>
      <c r="B61" s="17" t="s">
        <v>116</v>
      </c>
      <c r="C61" s="18"/>
      <c r="D61" s="18"/>
      <c r="E61" s="18">
        <v>-3910</v>
      </c>
      <c r="F61" s="18"/>
      <c r="G61" s="31"/>
      <c r="H61" s="31"/>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31"/>
      <c r="FI61" s="31"/>
    </row>
    <row r="62" spans="1:176">
      <c r="A62" s="25" t="s">
        <v>117</v>
      </c>
      <c r="B62" s="17" t="s">
        <v>118</v>
      </c>
      <c r="C62" s="18"/>
      <c r="D62" s="18"/>
      <c r="E62" s="18"/>
      <c r="F62" s="18"/>
      <c r="G62" s="31"/>
      <c r="H62" s="3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31"/>
      <c r="FI62" s="31"/>
    </row>
    <row r="63" spans="1:176">
      <c r="A63" s="100" t="s">
        <v>119</v>
      </c>
      <c r="B63" s="26" t="s">
        <v>120</v>
      </c>
      <c r="C63" s="18">
        <v>515000</v>
      </c>
      <c r="D63" s="18">
        <v>243000</v>
      </c>
      <c r="E63" s="130">
        <f>215854.66+67731.24+25449.77</f>
        <v>309035.67000000004</v>
      </c>
      <c r="F63" s="130">
        <v>25449.77</v>
      </c>
      <c r="G63" s="31"/>
      <c r="H63" s="3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31"/>
      <c r="FI63" s="31"/>
    </row>
    <row r="64" spans="1:176">
      <c r="A64" s="99" t="s">
        <v>121</v>
      </c>
      <c r="B64" s="17" t="s">
        <v>122</v>
      </c>
      <c r="C64" s="18">
        <f t="shared" ref="C64:F64" si="15">C65</f>
        <v>0</v>
      </c>
      <c r="D64" s="18">
        <f t="shared" si="15"/>
        <v>0</v>
      </c>
      <c r="E64" s="18">
        <f t="shared" si="15"/>
        <v>0</v>
      </c>
      <c r="F64" s="18">
        <f t="shared" si="15"/>
        <v>0</v>
      </c>
      <c r="G64" s="31"/>
      <c r="H64" s="31"/>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31"/>
      <c r="FI64" s="31"/>
    </row>
    <row r="65" spans="1:165" s="6" customFormat="1">
      <c r="A65" s="100" t="s">
        <v>123</v>
      </c>
      <c r="B65" s="26" t="s">
        <v>124</v>
      </c>
      <c r="C65" s="18"/>
      <c r="D65" s="18"/>
      <c r="E65" s="130"/>
      <c r="F65" s="130"/>
      <c r="G65" s="31"/>
      <c r="H65" s="31"/>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31"/>
      <c r="FI65" s="31"/>
    </row>
    <row r="66" spans="1:165" s="6" customFormat="1">
      <c r="A66" s="99" t="s">
        <v>125</v>
      </c>
      <c r="B66" s="17" t="s">
        <v>126</v>
      </c>
      <c r="C66" s="18">
        <f t="shared" ref="C66:F66" si="16">+C67</f>
        <v>70036310</v>
      </c>
      <c r="D66" s="18">
        <f t="shared" si="16"/>
        <v>70036310</v>
      </c>
      <c r="E66" s="18">
        <f t="shared" si="16"/>
        <v>69843296</v>
      </c>
      <c r="F66" s="18">
        <f t="shared" si="16"/>
        <v>1552225</v>
      </c>
      <c r="G66" s="31"/>
      <c r="H66" s="31"/>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31"/>
      <c r="FI66" s="31"/>
    </row>
    <row r="67" spans="1:165" s="6" customFormat="1">
      <c r="A67" s="99" t="s">
        <v>127</v>
      </c>
      <c r="B67" s="17" t="s">
        <v>128</v>
      </c>
      <c r="C67" s="18">
        <f t="shared" ref="C67:F67" si="17">+C68+C81</f>
        <v>70036310</v>
      </c>
      <c r="D67" s="18">
        <f t="shared" si="17"/>
        <v>70036310</v>
      </c>
      <c r="E67" s="18">
        <f t="shared" si="17"/>
        <v>69843296</v>
      </c>
      <c r="F67" s="18">
        <f t="shared" si="17"/>
        <v>1552225</v>
      </c>
      <c r="G67" s="31"/>
      <c r="H67" s="31"/>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31"/>
      <c r="FI67" s="31"/>
    </row>
    <row r="68" spans="1:165" s="6" customFormat="1">
      <c r="A68" s="99" t="s">
        <v>129</v>
      </c>
      <c r="B68" s="17" t="s">
        <v>130</v>
      </c>
      <c r="C68" s="18">
        <f t="shared" ref="C68:F68" si="18">C69+C70+C71+C72+C74+C75+C76+C77+C73+C78+C79+C80</f>
        <v>70036310</v>
      </c>
      <c r="D68" s="18">
        <f t="shared" si="18"/>
        <v>70036310</v>
      </c>
      <c r="E68" s="18">
        <f t="shared" si="18"/>
        <v>69843561</v>
      </c>
      <c r="F68" s="18">
        <f t="shared" si="18"/>
        <v>1552490</v>
      </c>
      <c r="G68" s="31"/>
      <c r="H68" s="31"/>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31"/>
      <c r="FI68" s="31"/>
    </row>
    <row r="69" spans="1:165" s="6" customFormat="1" ht="25.5">
      <c r="A69" s="100" t="s">
        <v>131</v>
      </c>
      <c r="B69" s="26" t="s">
        <v>132</v>
      </c>
      <c r="C69" s="18"/>
      <c r="D69" s="18"/>
      <c r="E69" s="130"/>
      <c r="F69" s="130"/>
      <c r="G69" s="31"/>
      <c r="H69" s="31"/>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31"/>
      <c r="FI69" s="31"/>
    </row>
    <row r="70" spans="1:165" s="6" customFormat="1" ht="25.5">
      <c r="A70" s="100" t="s">
        <v>133</v>
      </c>
      <c r="B70" s="26" t="s">
        <v>134</v>
      </c>
      <c r="C70" s="18"/>
      <c r="D70" s="18"/>
      <c r="E70" s="130"/>
      <c r="F70" s="130"/>
      <c r="G70" s="31"/>
      <c r="H70" s="31"/>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31"/>
      <c r="FI70" s="31"/>
    </row>
    <row r="71" spans="1:165" s="6" customFormat="1" ht="25.5">
      <c r="A71" s="107" t="s">
        <v>135</v>
      </c>
      <c r="B71" s="26" t="s">
        <v>136</v>
      </c>
      <c r="C71" s="18">
        <v>47560720</v>
      </c>
      <c r="D71" s="18">
        <v>47560720</v>
      </c>
      <c r="E71" s="18">
        <v>47560720</v>
      </c>
      <c r="F71" s="130"/>
      <c r="G71" s="31"/>
      <c r="H71" s="31"/>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31"/>
      <c r="FI71" s="31"/>
    </row>
    <row r="72" spans="1:165" s="6" customFormat="1" ht="25.5">
      <c r="A72" s="100" t="s">
        <v>137</v>
      </c>
      <c r="B72" s="27" t="s">
        <v>138</v>
      </c>
      <c r="C72" s="18"/>
      <c r="D72" s="18"/>
      <c r="E72" s="130">
        <v>-192749</v>
      </c>
      <c r="F72" s="130"/>
      <c r="G72" s="31"/>
      <c r="H72" s="31"/>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31"/>
      <c r="FI72" s="31"/>
    </row>
    <row r="73" spans="1:165" s="6" customFormat="1">
      <c r="A73" s="100" t="s">
        <v>139</v>
      </c>
      <c r="B73" s="27" t="s">
        <v>140</v>
      </c>
      <c r="C73" s="18"/>
      <c r="D73" s="18"/>
      <c r="E73" s="130"/>
      <c r="F73" s="130"/>
      <c r="G73" s="31"/>
      <c r="H73" s="31"/>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31"/>
      <c r="FI73" s="31"/>
    </row>
    <row r="74" spans="1:165" s="6" customFormat="1" ht="25.5">
      <c r="A74" s="100" t="s">
        <v>141</v>
      </c>
      <c r="B74" s="27" t="s">
        <v>142</v>
      </c>
      <c r="C74" s="18"/>
      <c r="D74" s="18"/>
      <c r="E74" s="130"/>
      <c r="F74" s="130"/>
      <c r="G74" s="31"/>
      <c r="H74" s="31"/>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31"/>
      <c r="FI74" s="31"/>
    </row>
    <row r="75" spans="1:165" s="6" customFormat="1" ht="25.5">
      <c r="A75" s="100" t="s">
        <v>143</v>
      </c>
      <c r="B75" s="27" t="s">
        <v>144</v>
      </c>
      <c r="C75" s="18"/>
      <c r="D75" s="18"/>
      <c r="E75" s="130"/>
      <c r="F75" s="130"/>
      <c r="G75" s="31"/>
      <c r="H75" s="31"/>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31"/>
      <c r="FI75" s="31"/>
    </row>
    <row r="76" spans="1:165" s="6" customFormat="1" ht="25.5">
      <c r="A76" s="100" t="s">
        <v>145</v>
      </c>
      <c r="B76" s="27" t="s">
        <v>146</v>
      </c>
      <c r="C76" s="18"/>
      <c r="D76" s="18"/>
      <c r="E76" s="130"/>
      <c r="F76" s="130"/>
      <c r="G76" s="31"/>
      <c r="H76" s="31"/>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31"/>
      <c r="FI76" s="31"/>
    </row>
    <row r="77" spans="1:165" s="6" customFormat="1" ht="51">
      <c r="A77" s="100" t="s">
        <v>147</v>
      </c>
      <c r="B77" s="27" t="s">
        <v>148</v>
      </c>
      <c r="C77" s="18"/>
      <c r="D77" s="18"/>
      <c r="E77" s="130"/>
      <c r="F77" s="130"/>
      <c r="G77" s="31"/>
      <c r="H77" s="31"/>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31"/>
      <c r="FI77" s="31"/>
    </row>
    <row r="78" spans="1:165" s="6" customFormat="1" ht="25.5">
      <c r="A78" s="100" t="s">
        <v>149</v>
      </c>
      <c r="B78" s="27" t="s">
        <v>150</v>
      </c>
      <c r="C78" s="18">
        <v>11073140</v>
      </c>
      <c r="D78" s="18">
        <v>11073140</v>
      </c>
      <c r="E78" s="18">
        <v>11073140</v>
      </c>
      <c r="F78" s="130">
        <v>1552490</v>
      </c>
      <c r="G78" s="31"/>
      <c r="H78" s="31"/>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31"/>
      <c r="FI78" s="31"/>
    </row>
    <row r="79" spans="1:165" s="6" customFormat="1" ht="25.5">
      <c r="A79" s="100" t="s">
        <v>151</v>
      </c>
      <c r="B79" s="27" t="s">
        <v>152</v>
      </c>
      <c r="C79" s="18"/>
      <c r="D79" s="18"/>
      <c r="E79" s="130"/>
      <c r="F79" s="130"/>
      <c r="G79" s="31"/>
      <c r="H79" s="31"/>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31"/>
      <c r="FI79" s="31"/>
    </row>
    <row r="80" spans="1:165" s="6" customFormat="1" ht="51">
      <c r="A80" s="100" t="s">
        <v>153</v>
      </c>
      <c r="B80" s="27" t="s">
        <v>154</v>
      </c>
      <c r="C80" s="18">
        <v>11402450</v>
      </c>
      <c r="D80" s="18">
        <v>11402450</v>
      </c>
      <c r="E80" s="18">
        <v>11402450</v>
      </c>
      <c r="F80" s="130"/>
      <c r="G80" s="31"/>
      <c r="H80" s="31"/>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31"/>
      <c r="FI80" s="31"/>
    </row>
    <row r="81" spans="1:165">
      <c r="A81" s="99" t="s">
        <v>155</v>
      </c>
      <c r="B81" s="17" t="s">
        <v>156</v>
      </c>
      <c r="C81" s="18">
        <f t="shared" ref="C81:F81" si="19">+C82+C83+C84+C85+C86+C87+C88+C89</f>
        <v>0</v>
      </c>
      <c r="D81" s="18">
        <f t="shared" si="19"/>
        <v>0</v>
      </c>
      <c r="E81" s="18">
        <f t="shared" si="19"/>
        <v>-265</v>
      </c>
      <c r="F81" s="18">
        <f t="shared" si="19"/>
        <v>-265</v>
      </c>
      <c r="G81" s="31"/>
      <c r="H81" s="31"/>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31"/>
      <c r="FI81" s="31"/>
    </row>
    <row r="82" spans="1:165" ht="25.5">
      <c r="A82" s="100" t="s">
        <v>157</v>
      </c>
      <c r="B82" s="20" t="s">
        <v>158</v>
      </c>
      <c r="C82" s="18"/>
      <c r="D82" s="18"/>
      <c r="E82" s="130"/>
      <c r="F82" s="130"/>
      <c r="G82" s="31"/>
      <c r="H82" s="31"/>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31"/>
      <c r="FI82" s="31"/>
    </row>
    <row r="83" spans="1:165" ht="25.5">
      <c r="A83" s="100" t="s">
        <v>159</v>
      </c>
      <c r="B83" s="28" t="s">
        <v>138</v>
      </c>
      <c r="C83" s="18"/>
      <c r="D83" s="18"/>
      <c r="E83" s="130"/>
      <c r="F83" s="130"/>
      <c r="G83" s="31"/>
      <c r="H83" s="31"/>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31"/>
      <c r="FI83" s="31"/>
    </row>
    <row r="84" spans="1:165" ht="38.25">
      <c r="A84" s="100" t="s">
        <v>160</v>
      </c>
      <c r="B84" s="20" t="s">
        <v>161</v>
      </c>
      <c r="C84" s="18"/>
      <c r="D84" s="18"/>
      <c r="E84" s="130">
        <v>-265</v>
      </c>
      <c r="F84" s="130">
        <v>-265</v>
      </c>
      <c r="G84" s="31"/>
      <c r="H84" s="31"/>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31"/>
      <c r="FI84" s="31"/>
    </row>
    <row r="85" spans="1:165" ht="38.25">
      <c r="A85" s="100" t="s">
        <v>162</v>
      </c>
      <c r="B85" s="20" t="s">
        <v>163</v>
      </c>
      <c r="C85" s="18"/>
      <c r="D85" s="18"/>
      <c r="E85" s="130"/>
      <c r="F85" s="130"/>
      <c r="G85" s="31"/>
      <c r="H85" s="31"/>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31"/>
      <c r="FI85" s="31"/>
    </row>
    <row r="86" spans="1:165" ht="25.5">
      <c r="A86" s="100" t="s">
        <v>164</v>
      </c>
      <c r="B86" s="20" t="s">
        <v>142</v>
      </c>
      <c r="C86" s="18"/>
      <c r="D86" s="18"/>
      <c r="E86" s="130"/>
      <c r="F86" s="130"/>
      <c r="G86" s="31"/>
      <c r="H86" s="31"/>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31"/>
      <c r="FI86" s="31"/>
    </row>
    <row r="87" spans="1:165">
      <c r="A87" s="104" t="s">
        <v>165</v>
      </c>
      <c r="B87" s="29" t="s">
        <v>166</v>
      </c>
      <c r="C87" s="18"/>
      <c r="D87" s="18"/>
      <c r="E87" s="130"/>
      <c r="F87" s="130"/>
      <c r="H87" s="31"/>
      <c r="AT87" s="31"/>
      <c r="BT87" s="31"/>
      <c r="BU87" s="31"/>
      <c r="BV87" s="31"/>
      <c r="CN87" s="31"/>
    </row>
    <row r="88" spans="1:165" ht="63.75">
      <c r="A88" s="20" t="s">
        <v>167</v>
      </c>
      <c r="B88" s="30" t="s">
        <v>168</v>
      </c>
      <c r="C88" s="18"/>
      <c r="D88" s="18"/>
      <c r="E88" s="130"/>
      <c r="F88" s="130"/>
      <c r="H88" s="31"/>
      <c r="BT88" s="31"/>
      <c r="BU88" s="31"/>
      <c r="BV88" s="31"/>
      <c r="CN88" s="31"/>
    </row>
    <row r="89" spans="1:165" ht="25.5">
      <c r="A89" s="20" t="s">
        <v>169</v>
      </c>
      <c r="B89" s="32" t="s">
        <v>170</v>
      </c>
      <c r="C89" s="18"/>
      <c r="D89" s="18"/>
      <c r="E89" s="130"/>
      <c r="F89" s="130"/>
      <c r="H89" s="31"/>
      <c r="BT89" s="31"/>
      <c r="BU89" s="31"/>
      <c r="BV89" s="31"/>
      <c r="CN89" s="31"/>
    </row>
    <row r="90" spans="1:165" ht="38.25">
      <c r="A90" s="20" t="s">
        <v>171</v>
      </c>
      <c r="B90" s="33" t="s">
        <v>172</v>
      </c>
      <c r="C90" s="21">
        <f t="shared" ref="C90:F90" si="20">C93+C91</f>
        <v>0</v>
      </c>
      <c r="D90" s="21">
        <f t="shared" si="20"/>
        <v>0</v>
      </c>
      <c r="E90" s="21">
        <f t="shared" si="20"/>
        <v>0</v>
      </c>
      <c r="F90" s="21">
        <f t="shared" si="20"/>
        <v>0</v>
      </c>
      <c r="H90" s="31"/>
      <c r="BT90" s="31"/>
      <c r="BU90" s="31"/>
      <c r="BV90" s="31"/>
      <c r="CN90" s="31"/>
    </row>
    <row r="91" spans="1:165">
      <c r="A91" s="20" t="s">
        <v>173</v>
      </c>
      <c r="B91" s="32" t="s">
        <v>174</v>
      </c>
      <c r="C91" s="21">
        <f t="shared" ref="C91:F91" si="21">C92</f>
        <v>0</v>
      </c>
      <c r="D91" s="21">
        <f t="shared" si="21"/>
        <v>0</v>
      </c>
      <c r="E91" s="21">
        <f t="shared" si="21"/>
        <v>0</v>
      </c>
      <c r="F91" s="21">
        <f t="shared" si="21"/>
        <v>0</v>
      </c>
      <c r="H91" s="31"/>
      <c r="BT91" s="31"/>
      <c r="BU91" s="31"/>
      <c r="BV91" s="31"/>
      <c r="CN91" s="31"/>
    </row>
    <row r="92" spans="1:165">
      <c r="A92" s="20" t="s">
        <v>175</v>
      </c>
      <c r="B92" s="32" t="s">
        <v>176</v>
      </c>
      <c r="C92" s="21"/>
      <c r="D92" s="21"/>
      <c r="E92" s="21"/>
      <c r="F92" s="21"/>
      <c r="H92" s="31"/>
      <c r="BT92" s="31"/>
      <c r="BU92" s="31"/>
      <c r="BV92" s="31"/>
      <c r="CN92" s="31"/>
    </row>
    <row r="93" spans="1:165">
      <c r="A93" s="20" t="s">
        <v>177</v>
      </c>
      <c r="B93" s="32" t="s">
        <v>178</v>
      </c>
      <c r="C93" s="21">
        <f t="shared" ref="C93:F93" si="22">C94</f>
        <v>0</v>
      </c>
      <c r="D93" s="21">
        <f t="shared" si="22"/>
        <v>0</v>
      </c>
      <c r="E93" s="21">
        <f t="shared" si="22"/>
        <v>0</v>
      </c>
      <c r="F93" s="21">
        <f t="shared" si="22"/>
        <v>0</v>
      </c>
      <c r="G93" s="31"/>
      <c r="H93" s="31"/>
      <c r="I93" s="31"/>
      <c r="J93" s="31"/>
      <c r="BT93" s="31"/>
      <c r="BU93" s="31"/>
      <c r="BV93" s="31"/>
      <c r="CN93" s="31"/>
    </row>
    <row r="94" spans="1:165">
      <c r="A94" s="20" t="s">
        <v>179</v>
      </c>
      <c r="B94" s="32" t="s">
        <v>180</v>
      </c>
      <c r="C94" s="18"/>
      <c r="D94" s="18"/>
      <c r="E94" s="130"/>
      <c r="F94" s="130"/>
      <c r="G94" s="31"/>
      <c r="H94" s="31"/>
      <c r="I94" s="31"/>
      <c r="J94" s="31"/>
      <c r="BT94" s="31"/>
      <c r="BU94" s="31"/>
      <c r="BV94" s="31"/>
      <c r="CN94" s="31"/>
    </row>
    <row r="95" spans="1:165" ht="38.25">
      <c r="A95" s="20" t="s">
        <v>181</v>
      </c>
      <c r="B95" s="33" t="s">
        <v>172</v>
      </c>
      <c r="C95" s="21">
        <f t="shared" ref="C95:F95" si="23">C96+C99</f>
        <v>0</v>
      </c>
      <c r="D95" s="21">
        <f t="shared" si="23"/>
        <v>0</v>
      </c>
      <c r="E95" s="21">
        <f t="shared" si="23"/>
        <v>0</v>
      </c>
      <c r="F95" s="21">
        <f t="shared" si="23"/>
        <v>0</v>
      </c>
      <c r="G95" s="31"/>
      <c r="H95" s="31"/>
      <c r="I95" s="31"/>
      <c r="J95" s="31"/>
      <c r="BT95" s="31"/>
      <c r="BU95" s="31"/>
      <c r="BV95" s="31"/>
      <c r="CN95" s="31"/>
    </row>
    <row r="96" spans="1:165">
      <c r="A96" s="20" t="s">
        <v>182</v>
      </c>
      <c r="B96" s="32" t="s">
        <v>178</v>
      </c>
      <c r="C96" s="21">
        <f t="shared" ref="C96:F96" si="24">C97+C98</f>
        <v>0</v>
      </c>
      <c r="D96" s="21">
        <f t="shared" si="24"/>
        <v>0</v>
      </c>
      <c r="E96" s="21">
        <f t="shared" si="24"/>
        <v>0</v>
      </c>
      <c r="F96" s="21">
        <f t="shared" si="24"/>
        <v>0</v>
      </c>
      <c r="G96" s="31"/>
      <c r="H96" s="31"/>
      <c r="I96" s="31"/>
      <c r="J96" s="31"/>
      <c r="BT96" s="31"/>
      <c r="BU96" s="31"/>
      <c r="BV96" s="31"/>
      <c r="CN96" s="31"/>
    </row>
    <row r="97" spans="1:92">
      <c r="A97" s="20" t="s">
        <v>183</v>
      </c>
      <c r="B97" s="32" t="s">
        <v>184</v>
      </c>
      <c r="C97" s="18"/>
      <c r="D97" s="18"/>
      <c r="E97" s="130"/>
      <c r="F97" s="130"/>
      <c r="G97" s="31"/>
      <c r="H97" s="31"/>
      <c r="I97" s="31"/>
      <c r="J97" s="31"/>
      <c r="BT97" s="31"/>
      <c r="BU97" s="31"/>
      <c r="BV97" s="31"/>
      <c r="CN97" s="31"/>
    </row>
    <row r="98" spans="1:92">
      <c r="A98" s="20" t="s">
        <v>185</v>
      </c>
      <c r="B98" s="32" t="s">
        <v>186</v>
      </c>
      <c r="C98" s="18"/>
      <c r="D98" s="18"/>
      <c r="E98" s="130"/>
      <c r="F98" s="130"/>
      <c r="G98" s="31"/>
      <c r="H98" s="31"/>
      <c r="I98" s="31"/>
      <c r="J98" s="31"/>
      <c r="BT98" s="31"/>
      <c r="BU98" s="31"/>
      <c r="BV98" s="31"/>
      <c r="CN98" s="31"/>
    </row>
    <row r="99" spans="1:92">
      <c r="A99" s="20" t="s">
        <v>187</v>
      </c>
      <c r="B99" s="33" t="s">
        <v>516</v>
      </c>
      <c r="C99" s="21">
        <f t="shared" ref="C99:F99" si="25">C100+C101</f>
        <v>0</v>
      </c>
      <c r="D99" s="21">
        <f t="shared" si="25"/>
        <v>0</v>
      </c>
      <c r="E99" s="21">
        <f t="shared" si="25"/>
        <v>0</v>
      </c>
      <c r="F99" s="21">
        <f t="shared" si="25"/>
        <v>0</v>
      </c>
      <c r="G99" s="31"/>
      <c r="H99" s="31"/>
      <c r="I99" s="31"/>
      <c r="J99" s="31"/>
      <c r="BT99" s="31"/>
      <c r="BU99" s="31"/>
      <c r="BV99" s="31"/>
      <c r="CN99" s="31"/>
    </row>
    <row r="100" spans="1:92">
      <c r="A100" s="20" t="s">
        <v>188</v>
      </c>
      <c r="B100" s="32" t="s">
        <v>184</v>
      </c>
      <c r="C100" s="18"/>
      <c r="D100" s="18"/>
      <c r="E100" s="130"/>
      <c r="F100" s="130"/>
      <c r="G100" s="31"/>
      <c r="H100" s="31"/>
      <c r="I100" s="31"/>
      <c r="J100" s="31"/>
      <c r="BT100" s="31"/>
      <c r="BU100" s="31"/>
      <c r="BV100" s="31"/>
      <c r="CN100" s="31"/>
    </row>
    <row r="101" spans="1:92">
      <c r="A101" s="20" t="s">
        <v>189</v>
      </c>
      <c r="B101" s="32" t="s">
        <v>186</v>
      </c>
      <c r="C101" s="18"/>
      <c r="D101" s="18"/>
      <c r="E101" s="130"/>
      <c r="F101" s="130"/>
      <c r="G101" s="31"/>
      <c r="H101" s="31"/>
      <c r="I101" s="31"/>
      <c r="J101" s="31"/>
      <c r="BT101" s="31"/>
      <c r="BU101" s="31"/>
      <c r="BV101" s="31"/>
      <c r="CN101" s="31"/>
    </row>
    <row r="102" spans="1:92" ht="25.5">
      <c r="A102" s="34" t="s">
        <v>190</v>
      </c>
      <c r="B102" s="35" t="s">
        <v>191</v>
      </c>
      <c r="C102" s="21">
        <f t="shared" ref="C102:F102" si="26">C103+C106</f>
        <v>0</v>
      </c>
      <c r="D102" s="21">
        <f t="shared" si="26"/>
        <v>0</v>
      </c>
      <c r="E102" s="21">
        <f t="shared" si="26"/>
        <v>0</v>
      </c>
      <c r="F102" s="21">
        <f t="shared" si="26"/>
        <v>0</v>
      </c>
      <c r="G102" s="31"/>
      <c r="H102" s="31"/>
      <c r="I102" s="31"/>
      <c r="J102" s="31"/>
      <c r="BT102" s="31"/>
      <c r="BU102" s="31"/>
      <c r="BV102" s="31"/>
      <c r="CN102" s="31"/>
    </row>
    <row r="103" spans="1:92" ht="38.25">
      <c r="A103" s="20" t="s">
        <v>192</v>
      </c>
      <c r="B103" s="35" t="s">
        <v>172</v>
      </c>
      <c r="C103" s="21">
        <f t="shared" ref="C103:F103" si="27">C104+C105</f>
        <v>0</v>
      </c>
      <c r="D103" s="21">
        <f t="shared" si="27"/>
        <v>0</v>
      </c>
      <c r="E103" s="21">
        <f t="shared" si="27"/>
        <v>0</v>
      </c>
      <c r="F103" s="21">
        <f t="shared" si="27"/>
        <v>0</v>
      </c>
      <c r="G103" s="31"/>
      <c r="H103" s="31"/>
      <c r="I103" s="31"/>
      <c r="J103" s="31"/>
      <c r="BT103" s="31"/>
      <c r="BU103" s="31"/>
      <c r="BV103" s="31"/>
      <c r="CN103" s="31"/>
    </row>
    <row r="104" spans="1:92">
      <c r="A104" s="20" t="s">
        <v>193</v>
      </c>
      <c r="B104" s="20" t="s">
        <v>194</v>
      </c>
      <c r="C104" s="21"/>
      <c r="D104" s="21"/>
      <c r="E104" s="21"/>
      <c r="F104" s="21"/>
      <c r="G104" s="31"/>
      <c r="H104" s="31"/>
      <c r="I104" s="31"/>
      <c r="J104" s="31"/>
      <c r="BT104" s="31"/>
      <c r="BU104" s="31"/>
      <c r="BV104" s="31"/>
      <c r="CN104" s="31"/>
    </row>
    <row r="105" spans="1:92" ht="26.25" customHeight="1">
      <c r="A105" s="20" t="s">
        <v>195</v>
      </c>
      <c r="B105" s="20" t="s">
        <v>196</v>
      </c>
      <c r="C105" s="21"/>
      <c r="D105" s="21"/>
      <c r="E105" s="21"/>
      <c r="F105" s="21"/>
      <c r="G105" s="31"/>
      <c r="H105" s="31"/>
      <c r="I105" s="31"/>
      <c r="J105" s="31"/>
      <c r="BT105" s="31"/>
      <c r="BU105" s="31"/>
      <c r="BV105" s="31"/>
      <c r="CN105" s="31"/>
    </row>
    <row r="106" spans="1:92">
      <c r="A106" s="38"/>
      <c r="B106" s="36" t="s">
        <v>197</v>
      </c>
      <c r="C106" s="21">
        <f t="shared" ref="C106:F108" si="28">C107</f>
        <v>0</v>
      </c>
      <c r="D106" s="21">
        <f t="shared" si="28"/>
        <v>0</v>
      </c>
      <c r="E106" s="21">
        <f t="shared" si="28"/>
        <v>0</v>
      </c>
      <c r="F106" s="21">
        <f t="shared" si="28"/>
        <v>0</v>
      </c>
      <c r="G106" s="31"/>
      <c r="H106" s="31"/>
      <c r="I106" s="31"/>
      <c r="J106" s="31"/>
      <c r="BT106" s="31"/>
      <c r="BU106" s="31"/>
      <c r="BV106" s="31"/>
      <c r="CN106" s="31"/>
    </row>
    <row r="107" spans="1:92">
      <c r="A107" s="20" t="s">
        <v>198</v>
      </c>
      <c r="B107" s="36" t="s">
        <v>199</v>
      </c>
      <c r="C107" s="21">
        <f t="shared" si="28"/>
        <v>0</v>
      </c>
      <c r="D107" s="21">
        <f t="shared" si="28"/>
        <v>0</v>
      </c>
      <c r="E107" s="21">
        <f t="shared" si="28"/>
        <v>0</v>
      </c>
      <c r="F107" s="21">
        <f t="shared" si="28"/>
        <v>0</v>
      </c>
      <c r="G107" s="31"/>
      <c r="H107" s="31"/>
      <c r="I107" s="31"/>
      <c r="J107" s="31"/>
      <c r="BT107" s="31"/>
      <c r="BU107" s="31"/>
      <c r="BV107" s="31"/>
      <c r="CN107" s="31"/>
    </row>
    <row r="108" spans="1:92" ht="25.5">
      <c r="A108" s="20" t="s">
        <v>200</v>
      </c>
      <c r="B108" s="36" t="s">
        <v>201</v>
      </c>
      <c r="C108" s="21">
        <f t="shared" si="28"/>
        <v>0</v>
      </c>
      <c r="D108" s="21">
        <f t="shared" si="28"/>
        <v>0</v>
      </c>
      <c r="E108" s="21">
        <f t="shared" si="28"/>
        <v>0</v>
      </c>
      <c r="F108" s="21">
        <f t="shared" si="28"/>
        <v>0</v>
      </c>
      <c r="G108" s="31"/>
      <c r="H108" s="31"/>
      <c r="I108" s="31"/>
      <c r="J108" s="31"/>
      <c r="BT108" s="31"/>
      <c r="BU108" s="31"/>
      <c r="BV108" s="31"/>
      <c r="CN108" s="31"/>
    </row>
    <row r="109" spans="1:92">
      <c r="A109" s="20" t="s">
        <v>202</v>
      </c>
      <c r="B109" s="37" t="s">
        <v>203</v>
      </c>
      <c r="C109" s="18"/>
      <c r="D109" s="18"/>
      <c r="E109" s="130"/>
      <c r="F109" s="21"/>
      <c r="CN109" s="31"/>
    </row>
    <row r="110" spans="1:92" ht="12" customHeight="1">
      <c r="A110" s="35" t="s">
        <v>204</v>
      </c>
      <c r="B110" s="35" t="s">
        <v>205</v>
      </c>
      <c r="C110" s="21">
        <f t="shared" ref="C110:F110" si="29">C111</f>
        <v>0</v>
      </c>
      <c r="D110" s="21">
        <f t="shared" si="29"/>
        <v>0</v>
      </c>
      <c r="E110" s="21">
        <f t="shared" si="29"/>
        <v>-1597501</v>
      </c>
      <c r="F110" s="21">
        <f t="shared" si="29"/>
        <v>-133760</v>
      </c>
      <c r="CN110" s="31"/>
    </row>
    <row r="111" spans="1:92" ht="25.5">
      <c r="A111" s="20" t="s">
        <v>206</v>
      </c>
      <c r="B111" s="20" t="s">
        <v>207</v>
      </c>
      <c r="C111" s="18"/>
      <c r="D111" s="18"/>
      <c r="E111" s="130">
        <f>-641409-822332-133760</f>
        <v>-1597501</v>
      </c>
      <c r="F111" s="130">
        <v>-133760</v>
      </c>
      <c r="CN111" s="31"/>
    </row>
    <row r="112" spans="1:92">
      <c r="CN112" s="31"/>
    </row>
    <row r="113" spans="2:92">
      <c r="B113" s="11" t="s">
        <v>524</v>
      </c>
      <c r="E113" s="11" t="s">
        <v>525</v>
      </c>
      <c r="CN113" s="31"/>
    </row>
    <row r="114" spans="2:92">
      <c r="CN114" s="31"/>
    </row>
    <row r="115" spans="2:92">
      <c r="B115" s="11" t="s">
        <v>522</v>
      </c>
      <c r="E115" s="11" t="s">
        <v>523</v>
      </c>
      <c r="CN115" s="31"/>
    </row>
    <row r="116" spans="2:92">
      <c r="CN116" s="31"/>
    </row>
    <row r="117" spans="2:92">
      <c r="CN117" s="31"/>
    </row>
    <row r="118" spans="2:92">
      <c r="CN118" s="31"/>
    </row>
    <row r="119" spans="2:92">
      <c r="CN119" s="31"/>
    </row>
    <row r="120" spans="2:92">
      <c r="CN120" s="31"/>
    </row>
    <row r="121" spans="2:92">
      <c r="CN121" s="31"/>
    </row>
    <row r="122" spans="2:92">
      <c r="CN122" s="31"/>
    </row>
    <row r="123" spans="2:92">
      <c r="CN123" s="31"/>
    </row>
    <row r="124" spans="2:92">
      <c r="CN124" s="31"/>
    </row>
    <row r="125" spans="2:92">
      <c r="CN125" s="31"/>
    </row>
    <row r="126" spans="2:92">
      <c r="CN126" s="31"/>
    </row>
    <row r="127" spans="2:92">
      <c r="CN127" s="31"/>
    </row>
    <row r="128" spans="2:92">
      <c r="CN128" s="31"/>
    </row>
    <row r="129" spans="92:92">
      <c r="CN129" s="31"/>
    </row>
    <row r="130" spans="92:92">
      <c r="CN130" s="31"/>
    </row>
    <row r="131" spans="92:92">
      <c r="CN131" s="31"/>
    </row>
    <row r="132" spans="92:92">
      <c r="CN132" s="31"/>
    </row>
    <row r="133" spans="92:92">
      <c r="CN133" s="31"/>
    </row>
    <row r="134" spans="92:92">
      <c r="CN134" s="31"/>
    </row>
    <row r="135" spans="92:92">
      <c r="CN135" s="31"/>
    </row>
    <row r="136" spans="92:92">
      <c r="CN136" s="31"/>
    </row>
    <row r="137" spans="92:92">
      <c r="CN137" s="31"/>
    </row>
    <row r="138" spans="92:92">
      <c r="CN138" s="31"/>
    </row>
    <row r="139" spans="92:92">
      <c r="CN139" s="31"/>
    </row>
    <row r="140" spans="92:92">
      <c r="CN140" s="31"/>
    </row>
    <row r="141" spans="92:92">
      <c r="CN141" s="31"/>
    </row>
    <row r="142" spans="92:92">
      <c r="CN142" s="31"/>
    </row>
    <row r="143" spans="92:92">
      <c r="CN143" s="31"/>
    </row>
    <row r="144" spans="92:92">
      <c r="CN144" s="31"/>
    </row>
    <row r="145" spans="1:92" s="6" customFormat="1">
      <c r="A145" s="39"/>
      <c r="B145" s="11"/>
      <c r="C145" s="40"/>
      <c r="D145" s="40"/>
      <c r="E145" s="11"/>
      <c r="F145" s="11"/>
      <c r="CN145" s="31"/>
    </row>
    <row r="146" spans="1:92" s="6" customFormat="1">
      <c r="A146" s="39"/>
      <c r="B146" s="11"/>
      <c r="C146" s="40"/>
      <c r="D146" s="40"/>
      <c r="E146" s="11"/>
      <c r="F146" s="11"/>
      <c r="CN146" s="31"/>
    </row>
    <row r="147" spans="1:92" s="6" customFormat="1">
      <c r="A147" s="39"/>
      <c r="B147" s="11"/>
      <c r="C147" s="40"/>
      <c r="D147" s="40"/>
      <c r="E147" s="11"/>
      <c r="F147" s="11"/>
      <c r="CN147" s="31"/>
    </row>
    <row r="148" spans="1:92" s="6" customFormat="1">
      <c r="A148" s="39"/>
      <c r="B148" s="11"/>
      <c r="C148" s="40"/>
      <c r="D148" s="40"/>
      <c r="E148" s="11"/>
      <c r="F148" s="11"/>
      <c r="CN148" s="31"/>
    </row>
    <row r="149" spans="1:92" s="6" customFormat="1">
      <c r="A149" s="39"/>
      <c r="B149" s="11"/>
      <c r="C149" s="40"/>
      <c r="D149" s="40"/>
      <c r="E149" s="11"/>
      <c r="F149" s="11"/>
      <c r="CN149" s="31"/>
    </row>
    <row r="150" spans="1:92" s="6" customFormat="1">
      <c r="A150" s="39"/>
      <c r="B150" s="11"/>
      <c r="C150" s="40"/>
      <c r="D150" s="40"/>
      <c r="E150" s="11"/>
      <c r="F150" s="11"/>
      <c r="CN150" s="31"/>
    </row>
    <row r="151" spans="1:92" s="6" customFormat="1">
      <c r="A151" s="39"/>
      <c r="B151" s="11"/>
      <c r="C151" s="40"/>
      <c r="D151" s="40"/>
      <c r="E151" s="11"/>
      <c r="F151" s="11"/>
      <c r="CN151" s="31"/>
    </row>
    <row r="152" spans="1:92" s="6" customFormat="1">
      <c r="A152" s="39"/>
      <c r="B152" s="11"/>
      <c r="C152" s="40"/>
      <c r="D152" s="40"/>
      <c r="E152" s="11"/>
      <c r="F152" s="11"/>
      <c r="CN152" s="31"/>
    </row>
    <row r="153" spans="1:92" s="6" customFormat="1">
      <c r="A153" s="39"/>
      <c r="B153" s="11"/>
      <c r="C153" s="40"/>
      <c r="D153" s="40"/>
      <c r="E153" s="11"/>
      <c r="F153" s="11"/>
      <c r="CN153" s="31"/>
    </row>
    <row r="154" spans="1:92" s="6" customFormat="1">
      <c r="A154" s="39"/>
      <c r="B154" s="11"/>
      <c r="C154" s="40"/>
      <c r="D154" s="40"/>
      <c r="E154" s="11"/>
      <c r="F154" s="11"/>
      <c r="CN154" s="31"/>
    </row>
    <row r="155" spans="1:92" s="6" customFormat="1">
      <c r="A155" s="39"/>
      <c r="B155" s="11"/>
      <c r="C155" s="40"/>
      <c r="D155" s="40"/>
      <c r="E155" s="11"/>
      <c r="F155" s="11"/>
      <c r="CN155" s="31"/>
    </row>
    <row r="156" spans="1:92" s="6" customFormat="1">
      <c r="A156" s="39"/>
      <c r="B156" s="11"/>
      <c r="C156" s="40"/>
      <c r="D156" s="40"/>
      <c r="E156" s="11"/>
      <c r="F156" s="11"/>
      <c r="CN156" s="31"/>
    </row>
  </sheetData>
  <protectedRanges>
    <protectedRange sqref="E82:F83 C24:F24 C56:F56 E63:F63 E87:F89 C58:F58 C66:F67 C81:F81 E94:F94 E97:F98 E100:F101 E17:F23 E55:F55 E72:F77 E25:F27 F71 E79:F79 F78 F80 E30:F51" name="Zonă1" securityDescriptor="O:WDG:WDD:(A;;CC;;;AN)(A;;CC;;;AU)(A;;CC;;;WD)"/>
  </protectedRanges>
  <mergeCells count="32">
    <mergeCell ref="EX4:FB4"/>
    <mergeCell ref="FC4:FG4"/>
    <mergeCell ref="DT4:DX4"/>
    <mergeCell ref="DY4:EC4"/>
    <mergeCell ref="ED4:EH4"/>
    <mergeCell ref="EI4:EM4"/>
    <mergeCell ref="EN4:ER4"/>
    <mergeCell ref="ES4:EW4"/>
    <mergeCell ref="DO4:DS4"/>
    <mergeCell ref="BL4:BP4"/>
    <mergeCell ref="BQ4:BU4"/>
    <mergeCell ref="BV4:BZ4"/>
    <mergeCell ref="CA4:CE4"/>
    <mergeCell ref="CF4:CJ4"/>
    <mergeCell ref="CK4:CO4"/>
    <mergeCell ref="CP4:CT4"/>
    <mergeCell ref="CU4:CY4"/>
    <mergeCell ref="CZ4:DD4"/>
    <mergeCell ref="DE4:DI4"/>
    <mergeCell ref="DJ4:DN4"/>
    <mergeCell ref="BG4:BK4"/>
    <mergeCell ref="G4:H4"/>
    <mergeCell ref="I4:M4"/>
    <mergeCell ref="N4:R4"/>
    <mergeCell ref="S4:W4"/>
    <mergeCell ref="X4:AB4"/>
    <mergeCell ref="AC4:AG4"/>
    <mergeCell ref="AH4:AL4"/>
    <mergeCell ref="AM4:AQ4"/>
    <mergeCell ref="AR4:AV4"/>
    <mergeCell ref="AW4:BA4"/>
    <mergeCell ref="BB4:BF4"/>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IT297"/>
  <sheetViews>
    <sheetView tabSelected="1" zoomScale="90" zoomScaleNormal="90" workbookViewId="0">
      <pane xSplit="3" ySplit="6" topLeftCell="D220" activePane="bottomRight" state="frozen"/>
      <selection activeCell="G7" sqref="G7:H290"/>
      <selection pane="topRight" activeCell="G7" sqref="G7:H290"/>
      <selection pane="bottomLeft" activeCell="G7" sqref="G7:H290"/>
      <selection pane="bottomRight" activeCell="D223" sqref="D223"/>
    </sheetView>
  </sheetViews>
  <sheetFormatPr defaultRowHeight="15"/>
  <cols>
    <col min="1" max="1" width="14.42578125" style="41" customWidth="1"/>
    <col min="2" max="2" width="65.7109375" style="43" customWidth="1"/>
    <col min="3" max="3" width="5" style="43" bestFit="1" customWidth="1"/>
    <col min="4" max="4" width="17.42578125" style="43" customWidth="1"/>
    <col min="5" max="5" width="15.42578125" style="43" customWidth="1"/>
    <col min="6" max="6" width="17" style="43" customWidth="1"/>
    <col min="7" max="7" width="15.42578125" style="43" bestFit="1" customWidth="1"/>
    <col min="8" max="8" width="14.5703125" style="43" bestFit="1" customWidth="1"/>
    <col min="9" max="9" width="10.42578125" style="44" bestFit="1" customWidth="1"/>
    <col min="10" max="10" width="11.5703125" style="44" bestFit="1" customWidth="1"/>
    <col min="11" max="16384" width="9.140625" style="44"/>
  </cols>
  <sheetData>
    <row r="1" spans="1:11" ht="20.25">
      <c r="B1" s="109" t="s">
        <v>527</v>
      </c>
      <c r="C1" s="42"/>
    </row>
    <row r="2" spans="1:11">
      <c r="B2" s="42" t="s">
        <v>521</v>
      </c>
      <c r="C2" s="42"/>
    </row>
    <row r="3" spans="1:11">
      <c r="B3" s="42"/>
      <c r="C3" s="42"/>
      <c r="D3" s="45"/>
    </row>
    <row r="4" spans="1:11">
      <c r="D4" s="46"/>
      <c r="E4" s="46"/>
      <c r="F4" s="47"/>
      <c r="G4" s="48"/>
      <c r="H4" s="49" t="s">
        <v>0</v>
      </c>
    </row>
    <row r="5" spans="1:11" s="53" customFormat="1" ht="75">
      <c r="A5" s="50"/>
      <c r="B5" s="51" t="s">
        <v>2</v>
      </c>
      <c r="C5" s="51"/>
      <c r="D5" s="51" t="s">
        <v>208</v>
      </c>
      <c r="E5" s="52" t="s">
        <v>209</v>
      </c>
      <c r="F5" s="52" t="s">
        <v>210</v>
      </c>
      <c r="G5" s="51" t="s">
        <v>211</v>
      </c>
      <c r="H5" s="51" t="s">
        <v>212</v>
      </c>
    </row>
    <row r="6" spans="1:11">
      <c r="A6" s="54"/>
      <c r="B6" s="55" t="s">
        <v>213</v>
      </c>
      <c r="C6" s="55"/>
      <c r="D6" s="56"/>
      <c r="E6" s="56"/>
      <c r="F6" s="56"/>
      <c r="G6" s="56"/>
      <c r="H6" s="56"/>
    </row>
    <row r="7" spans="1:11" s="61" customFormat="1" ht="16.5" customHeight="1">
      <c r="A7" s="57" t="s">
        <v>214</v>
      </c>
      <c r="B7" s="58" t="s">
        <v>215</v>
      </c>
      <c r="C7" s="111">
        <f t="shared" ref="C7:H7" si="0">+C8+C16</f>
        <v>0</v>
      </c>
      <c r="D7" s="111">
        <f t="shared" si="0"/>
        <v>903244300</v>
      </c>
      <c r="E7" s="111">
        <f t="shared" si="0"/>
        <v>852948590</v>
      </c>
      <c r="F7" s="111">
        <f t="shared" si="0"/>
        <v>761790560</v>
      </c>
      <c r="G7" s="111">
        <f t="shared" si="0"/>
        <v>688357200.7299999</v>
      </c>
      <c r="H7" s="111">
        <f t="shared" si="0"/>
        <v>81544911.75999999</v>
      </c>
      <c r="I7" s="60"/>
      <c r="J7" s="60"/>
      <c r="K7" s="60"/>
    </row>
    <row r="8" spans="1:11" s="61" customFormat="1">
      <c r="A8" s="57" t="s">
        <v>216</v>
      </c>
      <c r="B8" s="62" t="s">
        <v>217</v>
      </c>
      <c r="C8" s="112">
        <f>+C9+C10+C13+C11+C12+C15+C252+C14</f>
        <v>0</v>
      </c>
      <c r="D8" s="112">
        <f t="shared" ref="D8:H8" si="1">+D9+D10+D13+D11+D12+D15+D252+D14</f>
        <v>901774300</v>
      </c>
      <c r="E8" s="112">
        <f t="shared" si="1"/>
        <v>851478590</v>
      </c>
      <c r="F8" s="112">
        <f t="shared" si="1"/>
        <v>760320560</v>
      </c>
      <c r="G8" s="112">
        <f t="shared" si="1"/>
        <v>688257570.67999995</v>
      </c>
      <c r="H8" s="112">
        <f t="shared" si="1"/>
        <v>81544911.75999999</v>
      </c>
      <c r="I8" s="60"/>
      <c r="J8" s="60"/>
      <c r="K8" s="60"/>
    </row>
    <row r="9" spans="1:11" s="61" customFormat="1">
      <c r="A9" s="57" t="s">
        <v>218</v>
      </c>
      <c r="B9" s="62" t="s">
        <v>219</v>
      </c>
      <c r="C9" s="112">
        <f t="shared" ref="C9:H9" si="2">+C23</f>
        <v>0</v>
      </c>
      <c r="D9" s="112">
        <f t="shared" si="2"/>
        <v>6082000</v>
      </c>
      <c r="E9" s="112">
        <f t="shared" si="2"/>
        <v>6082000</v>
      </c>
      <c r="F9" s="112">
        <f t="shared" si="2"/>
        <v>4599540</v>
      </c>
      <c r="G9" s="112">
        <f t="shared" si="2"/>
        <v>4041025</v>
      </c>
      <c r="H9" s="112">
        <f t="shared" si="2"/>
        <v>512753</v>
      </c>
      <c r="I9" s="60"/>
      <c r="J9" s="60"/>
      <c r="K9" s="60"/>
    </row>
    <row r="10" spans="1:11" s="61" customFormat="1" ht="16.5" customHeight="1">
      <c r="A10" s="57" t="s">
        <v>220</v>
      </c>
      <c r="B10" s="62" t="s">
        <v>221</v>
      </c>
      <c r="C10" s="112">
        <f>+C43</f>
        <v>0</v>
      </c>
      <c r="D10" s="112">
        <f t="shared" ref="D10:H10" si="3">+D43</f>
        <v>588741370</v>
      </c>
      <c r="E10" s="112">
        <f t="shared" si="3"/>
        <v>538445660</v>
      </c>
      <c r="F10" s="112">
        <f t="shared" si="3"/>
        <v>474690310</v>
      </c>
      <c r="G10" s="112">
        <f t="shared" si="3"/>
        <v>433370117.55000001</v>
      </c>
      <c r="H10" s="112">
        <f t="shared" si="3"/>
        <v>51726522.209999993</v>
      </c>
      <c r="I10" s="60"/>
      <c r="J10" s="60"/>
      <c r="K10" s="60"/>
    </row>
    <row r="11" spans="1:11" s="61" customFormat="1">
      <c r="A11" s="57" t="s">
        <v>222</v>
      </c>
      <c r="B11" s="62" t="s">
        <v>223</v>
      </c>
      <c r="C11" s="112">
        <f>+C71</f>
        <v>0</v>
      </c>
      <c r="D11" s="112">
        <f t="shared" ref="D11:H11" si="4">+D71</f>
        <v>0</v>
      </c>
      <c r="E11" s="112">
        <f t="shared" si="4"/>
        <v>0</v>
      </c>
      <c r="F11" s="112">
        <f t="shared" si="4"/>
        <v>0</v>
      </c>
      <c r="G11" s="112">
        <f t="shared" si="4"/>
        <v>0</v>
      </c>
      <c r="H11" s="112">
        <f t="shared" si="4"/>
        <v>0</v>
      </c>
      <c r="I11" s="60"/>
      <c r="J11" s="60"/>
      <c r="K11" s="60"/>
    </row>
    <row r="12" spans="1:11" s="61" customFormat="1" ht="30">
      <c r="A12" s="57" t="s">
        <v>224</v>
      </c>
      <c r="B12" s="62" t="s">
        <v>225</v>
      </c>
      <c r="C12" s="112">
        <f>C253</f>
        <v>0</v>
      </c>
      <c r="D12" s="112">
        <f t="shared" ref="D12:H12" si="5">D253</f>
        <v>272635620</v>
      </c>
      <c r="E12" s="112">
        <f t="shared" si="5"/>
        <v>272635620</v>
      </c>
      <c r="F12" s="112">
        <f t="shared" si="5"/>
        <v>246717100</v>
      </c>
      <c r="G12" s="112">
        <f t="shared" si="5"/>
        <v>218358712</v>
      </c>
      <c r="H12" s="112">
        <f t="shared" si="5"/>
        <v>26971454</v>
      </c>
      <c r="I12" s="60"/>
      <c r="J12" s="60"/>
      <c r="K12" s="60"/>
    </row>
    <row r="13" spans="1:11" s="61" customFormat="1" ht="16.5" customHeight="1">
      <c r="A13" s="57" t="s">
        <v>226</v>
      </c>
      <c r="B13" s="62" t="s">
        <v>227</v>
      </c>
      <c r="C13" s="112">
        <f>C266</f>
        <v>0</v>
      </c>
      <c r="D13" s="112">
        <f t="shared" ref="D13:H13" si="6">D266</f>
        <v>34306310</v>
      </c>
      <c r="E13" s="112">
        <f t="shared" si="6"/>
        <v>34306310</v>
      </c>
      <c r="F13" s="112">
        <f t="shared" si="6"/>
        <v>34306310</v>
      </c>
      <c r="G13" s="112">
        <f t="shared" si="6"/>
        <v>32868804</v>
      </c>
      <c r="H13" s="112">
        <f t="shared" si="6"/>
        <v>2366562</v>
      </c>
      <c r="I13" s="60"/>
      <c r="J13" s="60"/>
      <c r="K13" s="60"/>
    </row>
    <row r="14" spans="1:11" s="61" customFormat="1" ht="30">
      <c r="A14" s="57" t="s">
        <v>228</v>
      </c>
      <c r="B14" s="62" t="s">
        <v>229</v>
      </c>
      <c r="C14" s="112">
        <f>C275</f>
        <v>0</v>
      </c>
      <c r="D14" s="112">
        <f t="shared" ref="D14:H14" si="7">D275</f>
        <v>0</v>
      </c>
      <c r="E14" s="112">
        <f t="shared" si="7"/>
        <v>0</v>
      </c>
      <c r="F14" s="112">
        <f t="shared" si="7"/>
        <v>0</v>
      </c>
      <c r="G14" s="112">
        <f t="shared" si="7"/>
        <v>0</v>
      </c>
      <c r="H14" s="112">
        <f t="shared" si="7"/>
        <v>0</v>
      </c>
      <c r="I14" s="60"/>
      <c r="J14" s="60"/>
      <c r="K14" s="60"/>
    </row>
    <row r="15" spans="1:11" s="61" customFormat="1" ht="16.5" customHeight="1">
      <c r="A15" s="57" t="s">
        <v>230</v>
      </c>
      <c r="B15" s="62" t="s">
        <v>231</v>
      </c>
      <c r="C15" s="112">
        <f>C74</f>
        <v>0</v>
      </c>
      <c r="D15" s="112">
        <f t="shared" ref="D15:H15" si="8">D74</f>
        <v>9000</v>
      </c>
      <c r="E15" s="112">
        <f t="shared" si="8"/>
        <v>9000</v>
      </c>
      <c r="F15" s="112">
        <f t="shared" si="8"/>
        <v>7300</v>
      </c>
      <c r="G15" s="112">
        <f t="shared" si="8"/>
        <v>5001</v>
      </c>
      <c r="H15" s="112">
        <f t="shared" si="8"/>
        <v>720</v>
      </c>
      <c r="I15" s="60"/>
      <c r="J15" s="60"/>
      <c r="K15" s="60"/>
    </row>
    <row r="16" spans="1:11" s="61" customFormat="1" ht="16.5" customHeight="1">
      <c r="A16" s="57" t="s">
        <v>232</v>
      </c>
      <c r="B16" s="62" t="s">
        <v>233</v>
      </c>
      <c r="C16" s="112">
        <f>C77</f>
        <v>0</v>
      </c>
      <c r="D16" s="112">
        <f t="shared" ref="D16:H16" si="9">D77</f>
        <v>1470000</v>
      </c>
      <c r="E16" s="112">
        <f t="shared" si="9"/>
        <v>1470000</v>
      </c>
      <c r="F16" s="112">
        <f t="shared" si="9"/>
        <v>1470000</v>
      </c>
      <c r="G16" s="112">
        <f t="shared" si="9"/>
        <v>99630.05</v>
      </c>
      <c r="H16" s="112">
        <f t="shared" si="9"/>
        <v>0</v>
      </c>
      <c r="I16" s="60"/>
      <c r="J16" s="60"/>
      <c r="K16" s="60"/>
    </row>
    <row r="17" spans="1:247" s="61" customFormat="1">
      <c r="A17" s="57" t="s">
        <v>234</v>
      </c>
      <c r="B17" s="62" t="s">
        <v>235</v>
      </c>
      <c r="C17" s="112">
        <f>C78</f>
        <v>0</v>
      </c>
      <c r="D17" s="112">
        <f t="shared" ref="D17:H17" si="10">D78</f>
        <v>1470000</v>
      </c>
      <c r="E17" s="112">
        <f t="shared" si="10"/>
        <v>1470000</v>
      </c>
      <c r="F17" s="112">
        <f t="shared" si="10"/>
        <v>1470000</v>
      </c>
      <c r="G17" s="112">
        <f t="shared" si="10"/>
        <v>99630.05</v>
      </c>
      <c r="H17" s="112">
        <f t="shared" si="10"/>
        <v>0</v>
      </c>
      <c r="I17" s="60"/>
      <c r="J17" s="60"/>
      <c r="K17" s="60"/>
    </row>
    <row r="18" spans="1:247" s="61" customFormat="1" ht="30">
      <c r="A18" s="57" t="s">
        <v>236</v>
      </c>
      <c r="B18" s="62" t="s">
        <v>237</v>
      </c>
      <c r="C18" s="112">
        <f>C252+C274</f>
        <v>0</v>
      </c>
      <c r="D18" s="112">
        <f t="shared" ref="D18:H18" si="11">D252+D274</f>
        <v>0</v>
      </c>
      <c r="E18" s="112">
        <f t="shared" si="11"/>
        <v>0</v>
      </c>
      <c r="F18" s="112">
        <f t="shared" si="11"/>
        <v>0</v>
      </c>
      <c r="G18" s="112">
        <f t="shared" si="11"/>
        <v>-386088.87</v>
      </c>
      <c r="H18" s="112">
        <f t="shared" si="11"/>
        <v>-33099.449999999997</v>
      </c>
      <c r="I18" s="60"/>
      <c r="J18" s="60"/>
      <c r="K18" s="60"/>
    </row>
    <row r="19" spans="1:247" s="61" customFormat="1" ht="16.5" customHeight="1">
      <c r="A19" s="57" t="s">
        <v>238</v>
      </c>
      <c r="B19" s="62" t="s">
        <v>239</v>
      </c>
      <c r="C19" s="112">
        <f t="shared" ref="C19:H19" si="12">+C20+C16</f>
        <v>0</v>
      </c>
      <c r="D19" s="112">
        <f t="shared" si="12"/>
        <v>903244300</v>
      </c>
      <c r="E19" s="112">
        <f t="shared" si="12"/>
        <v>852948590</v>
      </c>
      <c r="F19" s="112">
        <f t="shared" si="12"/>
        <v>761790560</v>
      </c>
      <c r="G19" s="112">
        <f t="shared" si="12"/>
        <v>688357200.7299999</v>
      </c>
      <c r="H19" s="112">
        <f t="shared" si="12"/>
        <v>81544911.75999999</v>
      </c>
      <c r="I19" s="60"/>
      <c r="J19" s="60"/>
      <c r="K19" s="60"/>
    </row>
    <row r="20" spans="1:247" s="61" customFormat="1">
      <c r="A20" s="57" t="s">
        <v>240</v>
      </c>
      <c r="B20" s="62" t="s">
        <v>217</v>
      </c>
      <c r="C20" s="112">
        <f>C9+C10+C11+C12+C13+C15+C252+C14</f>
        <v>0</v>
      </c>
      <c r="D20" s="112">
        <f t="shared" ref="D20:H20" si="13">D9+D10+D11+D12+D13+D15+D252+D14</f>
        <v>901774300</v>
      </c>
      <c r="E20" s="112">
        <f t="shared" si="13"/>
        <v>851478590</v>
      </c>
      <c r="F20" s="112">
        <f t="shared" si="13"/>
        <v>760320560</v>
      </c>
      <c r="G20" s="112">
        <f t="shared" si="13"/>
        <v>688257570.67999995</v>
      </c>
      <c r="H20" s="112">
        <f t="shared" si="13"/>
        <v>81544911.75999999</v>
      </c>
      <c r="I20" s="60"/>
      <c r="J20" s="60"/>
      <c r="K20" s="60"/>
    </row>
    <row r="21" spans="1:247" s="61" customFormat="1" ht="16.5" customHeight="1">
      <c r="A21" s="63" t="s">
        <v>241</v>
      </c>
      <c r="B21" s="62" t="s">
        <v>242</v>
      </c>
      <c r="C21" s="112">
        <f>+C22+C77+C252</f>
        <v>0</v>
      </c>
      <c r="D21" s="112">
        <f t="shared" ref="D21:H21" si="14">+D22+D77+D252</f>
        <v>868937990</v>
      </c>
      <c r="E21" s="112">
        <f t="shared" si="14"/>
        <v>818642280</v>
      </c>
      <c r="F21" s="112">
        <f t="shared" si="14"/>
        <v>727484250</v>
      </c>
      <c r="G21" s="112">
        <f t="shared" si="14"/>
        <v>655488396.7299999</v>
      </c>
      <c r="H21" s="112">
        <f t="shared" si="14"/>
        <v>79178349.75999999</v>
      </c>
      <c r="I21" s="60"/>
      <c r="J21" s="60"/>
      <c r="K21" s="60"/>
    </row>
    <row r="22" spans="1:247" s="61" customFormat="1" ht="16.5" customHeight="1">
      <c r="A22" s="57" t="s">
        <v>243</v>
      </c>
      <c r="B22" s="62" t="s">
        <v>217</v>
      </c>
      <c r="C22" s="112">
        <f>+C23+C43+C71+C253+C74+C275</f>
        <v>0</v>
      </c>
      <c r="D22" s="112">
        <f t="shared" ref="D22:H22" si="15">+D23+D43+D71+D253+D74+D275</f>
        <v>867467990</v>
      </c>
      <c r="E22" s="112">
        <f t="shared" si="15"/>
        <v>817172280</v>
      </c>
      <c r="F22" s="112">
        <f t="shared" si="15"/>
        <v>726014250</v>
      </c>
      <c r="G22" s="112">
        <f t="shared" si="15"/>
        <v>655774855.54999995</v>
      </c>
      <c r="H22" s="112">
        <f t="shared" si="15"/>
        <v>79211449.209999993</v>
      </c>
      <c r="I22" s="60"/>
      <c r="J22" s="60"/>
      <c r="K22" s="60"/>
    </row>
    <row r="23" spans="1:247" s="61" customFormat="1">
      <c r="A23" s="57" t="s">
        <v>244</v>
      </c>
      <c r="B23" s="62" t="s">
        <v>219</v>
      </c>
      <c r="C23" s="112">
        <f t="shared" ref="C23:H23" si="16">+C24+C36+C34</f>
        <v>0</v>
      </c>
      <c r="D23" s="112">
        <f t="shared" si="16"/>
        <v>6082000</v>
      </c>
      <c r="E23" s="112">
        <f t="shared" si="16"/>
        <v>6082000</v>
      </c>
      <c r="F23" s="112">
        <f t="shared" si="16"/>
        <v>4599540</v>
      </c>
      <c r="G23" s="112">
        <f t="shared" si="16"/>
        <v>4041025</v>
      </c>
      <c r="H23" s="112">
        <f t="shared" si="16"/>
        <v>512753</v>
      </c>
      <c r="I23" s="60"/>
      <c r="J23" s="60"/>
      <c r="K23" s="60"/>
    </row>
    <row r="24" spans="1:247" s="61" customFormat="1" ht="16.5" customHeight="1">
      <c r="A24" s="57" t="s">
        <v>245</v>
      </c>
      <c r="B24" s="62" t="s">
        <v>246</v>
      </c>
      <c r="C24" s="112">
        <f t="shared" ref="C24:H24" si="17">C25+C28+C29+C30+C32+C26+C27+C31</f>
        <v>0</v>
      </c>
      <c r="D24" s="112">
        <f t="shared" si="17"/>
        <v>5866000</v>
      </c>
      <c r="E24" s="112">
        <f t="shared" si="17"/>
        <v>5866000</v>
      </c>
      <c r="F24" s="112">
        <f t="shared" si="17"/>
        <v>4416210</v>
      </c>
      <c r="G24" s="112">
        <f t="shared" si="17"/>
        <v>3871644</v>
      </c>
      <c r="H24" s="112">
        <f t="shared" si="17"/>
        <v>501741</v>
      </c>
      <c r="I24" s="60"/>
      <c r="J24" s="60"/>
      <c r="K24" s="60"/>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row>
    <row r="25" spans="1:247" s="61" customFormat="1" ht="16.5" customHeight="1">
      <c r="A25" s="64" t="s">
        <v>247</v>
      </c>
      <c r="B25" s="65" t="s">
        <v>248</v>
      </c>
      <c r="C25" s="113"/>
      <c r="D25" s="59">
        <v>4814000</v>
      </c>
      <c r="E25" s="59">
        <v>4814000</v>
      </c>
      <c r="F25" s="59">
        <v>3609260</v>
      </c>
      <c r="G25" s="88">
        <f>2353391+408019+420283</f>
        <v>3181693</v>
      </c>
      <c r="H25" s="88">
        <v>420283</v>
      </c>
      <c r="I25" s="60"/>
      <c r="J25" s="60"/>
      <c r="K25" s="60"/>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row>
    <row r="26" spans="1:247" s="61" customFormat="1">
      <c r="A26" s="64" t="s">
        <v>249</v>
      </c>
      <c r="B26" s="65" t="s">
        <v>250</v>
      </c>
      <c r="C26" s="113"/>
      <c r="D26" s="59">
        <v>631000</v>
      </c>
      <c r="E26" s="59">
        <v>631000</v>
      </c>
      <c r="F26" s="59">
        <v>495000</v>
      </c>
      <c r="G26" s="88">
        <f>324389+53532+50241</f>
        <v>428162</v>
      </c>
      <c r="H26" s="88">
        <v>50241</v>
      </c>
      <c r="I26" s="60"/>
      <c r="J26" s="60"/>
      <c r="K26" s="60"/>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row>
    <row r="27" spans="1:247" s="61" customFormat="1">
      <c r="A27" s="64" t="s">
        <v>251</v>
      </c>
      <c r="B27" s="65" t="s">
        <v>252</v>
      </c>
      <c r="C27" s="113"/>
      <c r="D27" s="59">
        <v>25000</v>
      </c>
      <c r="E27" s="59">
        <v>25000</v>
      </c>
      <c r="F27" s="59">
        <v>20200</v>
      </c>
      <c r="G27" s="88">
        <f>13741+2020+1507</f>
        <v>17268</v>
      </c>
      <c r="H27" s="88">
        <v>1507</v>
      </c>
      <c r="I27" s="60"/>
      <c r="J27" s="60"/>
      <c r="K27" s="60"/>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row>
    <row r="28" spans="1:247" s="61" customFormat="1" ht="16.5" customHeight="1">
      <c r="A28" s="64" t="s">
        <v>253</v>
      </c>
      <c r="B28" s="66" t="s">
        <v>254</v>
      </c>
      <c r="C28" s="113"/>
      <c r="D28" s="59">
        <v>11000</v>
      </c>
      <c r="E28" s="59">
        <v>11000</v>
      </c>
      <c r="F28" s="59">
        <v>9500</v>
      </c>
      <c r="G28" s="88">
        <f>5332+888+888</f>
        <v>7108</v>
      </c>
      <c r="H28" s="88">
        <v>888</v>
      </c>
      <c r="I28" s="60"/>
      <c r="J28" s="60"/>
      <c r="K28" s="60"/>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row>
    <row r="29" spans="1:247" s="61" customFormat="1" ht="16.5" customHeight="1">
      <c r="A29" s="64" t="s">
        <v>255</v>
      </c>
      <c r="B29" s="66" t="s">
        <v>256</v>
      </c>
      <c r="C29" s="113"/>
      <c r="D29" s="59">
        <v>2000</v>
      </c>
      <c r="E29" s="59">
        <v>2000</v>
      </c>
      <c r="F29" s="59">
        <v>2000</v>
      </c>
      <c r="G29" s="88">
        <v>1100</v>
      </c>
      <c r="H29" s="88">
        <v>0</v>
      </c>
      <c r="I29" s="60"/>
      <c r="J29" s="60"/>
      <c r="K29" s="60"/>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row>
    <row r="30" spans="1:247" ht="16.5" customHeight="1">
      <c r="A30" s="64" t="s">
        <v>257</v>
      </c>
      <c r="B30" s="66" t="s">
        <v>258</v>
      </c>
      <c r="C30" s="113"/>
      <c r="D30" s="59"/>
      <c r="E30" s="59"/>
      <c r="F30" s="59"/>
      <c r="G30" s="88"/>
      <c r="H30" s="88"/>
      <c r="I30" s="60"/>
      <c r="J30" s="60"/>
      <c r="K30" s="60"/>
    </row>
    <row r="31" spans="1:247" ht="16.5" customHeight="1">
      <c r="A31" s="64" t="s">
        <v>259</v>
      </c>
      <c r="B31" s="66" t="s">
        <v>260</v>
      </c>
      <c r="C31" s="113"/>
      <c r="D31" s="59">
        <v>203000</v>
      </c>
      <c r="E31" s="59">
        <v>203000</v>
      </c>
      <c r="F31" s="59">
        <v>158750</v>
      </c>
      <c r="G31" s="88">
        <f>104090+17267+16205</f>
        <v>137562</v>
      </c>
      <c r="H31" s="88">
        <v>16205</v>
      </c>
      <c r="I31" s="60"/>
      <c r="J31" s="60"/>
      <c r="K31" s="60"/>
    </row>
    <row r="32" spans="1:247" ht="16.5" customHeight="1">
      <c r="A32" s="64" t="s">
        <v>261</v>
      </c>
      <c r="B32" s="66" t="s">
        <v>262</v>
      </c>
      <c r="C32" s="113"/>
      <c r="D32" s="59">
        <v>180000</v>
      </c>
      <c r="E32" s="59">
        <v>180000</v>
      </c>
      <c r="F32" s="59">
        <v>121500</v>
      </c>
      <c r="G32" s="88">
        <f>80397+5737+12617</f>
        <v>98751</v>
      </c>
      <c r="H32" s="88">
        <v>12617</v>
      </c>
      <c r="I32" s="60"/>
      <c r="J32" s="60"/>
      <c r="K32" s="60"/>
    </row>
    <row r="33" spans="1:247" ht="16.5" customHeight="1">
      <c r="A33" s="64"/>
      <c r="B33" s="66" t="s">
        <v>263</v>
      </c>
      <c r="C33" s="113"/>
      <c r="D33" s="59"/>
      <c r="E33" s="59"/>
      <c r="F33" s="59"/>
      <c r="G33" s="88"/>
      <c r="H33" s="88"/>
      <c r="I33" s="60"/>
      <c r="J33" s="60"/>
      <c r="K33" s="60"/>
    </row>
    <row r="34" spans="1:247" ht="16.5" customHeight="1">
      <c r="A34" s="64" t="s">
        <v>264</v>
      </c>
      <c r="B34" s="62" t="s">
        <v>265</v>
      </c>
      <c r="C34" s="113">
        <f t="shared" ref="C34:H34" si="18">C35</f>
        <v>0</v>
      </c>
      <c r="D34" s="113">
        <f t="shared" si="18"/>
        <v>84000</v>
      </c>
      <c r="E34" s="113">
        <f t="shared" si="18"/>
        <v>84000</v>
      </c>
      <c r="F34" s="113">
        <f t="shared" si="18"/>
        <v>84000</v>
      </c>
      <c r="G34" s="113">
        <f t="shared" si="18"/>
        <v>82650</v>
      </c>
      <c r="H34" s="113">
        <f t="shared" si="18"/>
        <v>0</v>
      </c>
      <c r="I34" s="60"/>
      <c r="J34" s="60"/>
      <c r="K34" s="60"/>
    </row>
    <row r="35" spans="1:247" ht="16.5" customHeight="1">
      <c r="A35" s="64" t="s">
        <v>266</v>
      </c>
      <c r="B35" s="66" t="s">
        <v>267</v>
      </c>
      <c r="C35" s="113"/>
      <c r="D35" s="59">
        <v>84000</v>
      </c>
      <c r="E35" s="59">
        <v>84000</v>
      </c>
      <c r="F35" s="59">
        <v>84000</v>
      </c>
      <c r="G35" s="88">
        <f>81200+1450</f>
        <v>82650</v>
      </c>
      <c r="H35" s="88">
        <v>0</v>
      </c>
      <c r="I35" s="60"/>
      <c r="J35" s="60"/>
      <c r="K35" s="60"/>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row>
    <row r="36" spans="1:247" ht="16.5" customHeight="1">
      <c r="A36" s="57" t="s">
        <v>268</v>
      </c>
      <c r="B36" s="62" t="s">
        <v>269</v>
      </c>
      <c r="C36" s="112">
        <f>+C37+C38+C39+C40+C41+C42</f>
        <v>0</v>
      </c>
      <c r="D36" s="112">
        <f t="shared" ref="D36:H36" si="19">+D37+D38+D39+D40+D41+D42</f>
        <v>132000</v>
      </c>
      <c r="E36" s="112">
        <f t="shared" si="19"/>
        <v>132000</v>
      </c>
      <c r="F36" s="112">
        <f t="shared" si="19"/>
        <v>99330</v>
      </c>
      <c r="G36" s="112">
        <f t="shared" si="19"/>
        <v>86731</v>
      </c>
      <c r="H36" s="112">
        <f t="shared" si="19"/>
        <v>11012</v>
      </c>
      <c r="I36" s="60"/>
      <c r="J36" s="60"/>
      <c r="K36" s="60"/>
      <c r="L36" s="61"/>
    </row>
    <row r="37" spans="1:247" ht="16.5" customHeight="1">
      <c r="A37" s="64" t="s">
        <v>270</v>
      </c>
      <c r="B37" s="66" t="s">
        <v>271</v>
      </c>
      <c r="C37" s="113"/>
      <c r="D37" s="59"/>
      <c r="E37" s="59"/>
      <c r="F37" s="59"/>
      <c r="G37" s="88"/>
      <c r="H37" s="88"/>
      <c r="I37" s="60"/>
      <c r="J37" s="60"/>
      <c r="K37" s="60"/>
    </row>
    <row r="38" spans="1:247" ht="16.5" customHeight="1">
      <c r="A38" s="64" t="s">
        <v>272</v>
      </c>
      <c r="B38" s="66" t="s">
        <v>273</v>
      </c>
      <c r="C38" s="113"/>
      <c r="D38" s="59"/>
      <c r="E38" s="59"/>
      <c r="F38" s="59"/>
      <c r="G38" s="88"/>
      <c r="H38" s="88"/>
      <c r="I38" s="60"/>
      <c r="J38" s="60"/>
      <c r="K38" s="60"/>
    </row>
    <row r="39" spans="1:247" s="61" customFormat="1" ht="16.5" customHeight="1">
      <c r="A39" s="64" t="s">
        <v>274</v>
      </c>
      <c r="B39" s="66" t="s">
        <v>275</v>
      </c>
      <c r="C39" s="113"/>
      <c r="D39" s="59"/>
      <c r="E39" s="59"/>
      <c r="F39" s="59"/>
      <c r="G39" s="88"/>
      <c r="H39" s="88"/>
      <c r="I39" s="60"/>
      <c r="J39" s="60"/>
      <c r="K39" s="60"/>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row>
    <row r="40" spans="1:247" ht="16.5" customHeight="1">
      <c r="A40" s="64" t="s">
        <v>276</v>
      </c>
      <c r="B40" s="67" t="s">
        <v>277</v>
      </c>
      <c r="C40" s="113"/>
      <c r="D40" s="59"/>
      <c r="E40" s="59"/>
      <c r="F40" s="59"/>
      <c r="G40" s="88"/>
      <c r="H40" s="88"/>
      <c r="I40" s="60"/>
      <c r="J40" s="60"/>
      <c r="K40" s="60"/>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row>
    <row r="41" spans="1:247" ht="16.5" customHeight="1">
      <c r="A41" s="64" t="s">
        <v>278</v>
      </c>
      <c r="B41" s="67" t="s">
        <v>42</v>
      </c>
      <c r="C41" s="113"/>
      <c r="D41" s="59"/>
      <c r="E41" s="59"/>
      <c r="F41" s="59"/>
      <c r="G41" s="88"/>
      <c r="H41" s="88"/>
      <c r="I41" s="60"/>
      <c r="J41" s="60"/>
      <c r="K41" s="60"/>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row>
    <row r="42" spans="1:247" ht="16.5" customHeight="1">
      <c r="A42" s="64" t="s">
        <v>279</v>
      </c>
      <c r="B42" s="67" t="s">
        <v>280</v>
      </c>
      <c r="C42" s="113"/>
      <c r="D42" s="59">
        <v>132000</v>
      </c>
      <c r="E42" s="59">
        <v>132000</v>
      </c>
      <c r="F42" s="59">
        <v>99330</v>
      </c>
      <c r="G42" s="88">
        <f>64748+10971+11012</f>
        <v>86731</v>
      </c>
      <c r="H42" s="88">
        <v>11012</v>
      </c>
      <c r="I42" s="60"/>
      <c r="J42" s="60"/>
      <c r="K42" s="60"/>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row>
    <row r="43" spans="1:247" ht="16.5" customHeight="1">
      <c r="A43" s="57" t="s">
        <v>281</v>
      </c>
      <c r="B43" s="62" t="s">
        <v>221</v>
      </c>
      <c r="C43" s="112">
        <f t="shared" ref="C43:H43" si="20">+C44+C58+C57+C60+C63+C65+C66+C68+C64+C67</f>
        <v>0</v>
      </c>
      <c r="D43" s="112">
        <f t="shared" si="20"/>
        <v>588741370</v>
      </c>
      <c r="E43" s="112">
        <f t="shared" si="20"/>
        <v>538445660</v>
      </c>
      <c r="F43" s="112">
        <f t="shared" si="20"/>
        <v>474690310</v>
      </c>
      <c r="G43" s="112">
        <f t="shared" si="20"/>
        <v>433370117.55000001</v>
      </c>
      <c r="H43" s="112">
        <f t="shared" si="20"/>
        <v>51726522.209999993</v>
      </c>
      <c r="I43" s="60"/>
      <c r="J43" s="60"/>
      <c r="K43" s="60"/>
      <c r="L43" s="61"/>
    </row>
    <row r="44" spans="1:247" ht="16.5" customHeight="1">
      <c r="A44" s="57" t="s">
        <v>282</v>
      </c>
      <c r="B44" s="62" t="s">
        <v>283</v>
      </c>
      <c r="C44" s="112">
        <f t="shared" ref="C44:H44" si="21">+C45+C46+C47+C48+C49+C50+C51+C52+C54</f>
        <v>0</v>
      </c>
      <c r="D44" s="112">
        <f t="shared" si="21"/>
        <v>588111370</v>
      </c>
      <c r="E44" s="112">
        <f t="shared" si="21"/>
        <v>537815660</v>
      </c>
      <c r="F44" s="112">
        <f t="shared" si="21"/>
        <v>474079260</v>
      </c>
      <c r="G44" s="112">
        <f t="shared" si="21"/>
        <v>432769965.19999999</v>
      </c>
      <c r="H44" s="112">
        <f t="shared" si="21"/>
        <v>51726522.209999993</v>
      </c>
      <c r="I44" s="60"/>
      <c r="J44" s="60"/>
      <c r="K44" s="60"/>
    </row>
    <row r="45" spans="1:247" s="61" customFormat="1" ht="16.5" customHeight="1">
      <c r="A45" s="64" t="s">
        <v>284</v>
      </c>
      <c r="B45" s="66" t="s">
        <v>285</v>
      </c>
      <c r="C45" s="113"/>
      <c r="D45" s="59">
        <v>86000</v>
      </c>
      <c r="E45" s="59">
        <v>86000</v>
      </c>
      <c r="F45" s="59">
        <v>74050</v>
      </c>
      <c r="G45" s="88">
        <f>51050+11048.61</f>
        <v>62098.61</v>
      </c>
      <c r="H45" s="88">
        <v>0</v>
      </c>
      <c r="I45" s="60"/>
      <c r="J45" s="60"/>
      <c r="K45" s="60"/>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row>
    <row r="46" spans="1:247" s="61" customFormat="1" ht="16.5" customHeight="1">
      <c r="A46" s="64" t="s">
        <v>286</v>
      </c>
      <c r="B46" s="66" t="s">
        <v>287</v>
      </c>
      <c r="C46" s="113"/>
      <c r="D46" s="59"/>
      <c r="E46" s="59"/>
      <c r="F46" s="59"/>
      <c r="G46" s="88"/>
      <c r="H46" s="88"/>
      <c r="I46" s="60"/>
      <c r="J46" s="60"/>
      <c r="K46" s="60"/>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row>
    <row r="47" spans="1:247" ht="16.5" customHeight="1">
      <c r="A47" s="64" t="s">
        <v>288</v>
      </c>
      <c r="B47" s="66" t="s">
        <v>289</v>
      </c>
      <c r="C47" s="113"/>
      <c r="D47" s="59">
        <v>139000</v>
      </c>
      <c r="E47" s="59">
        <v>139000</v>
      </c>
      <c r="F47" s="59">
        <v>117000</v>
      </c>
      <c r="G47" s="88">
        <f>85870.73+6490.18+4766.26</f>
        <v>97127.17</v>
      </c>
      <c r="H47" s="88">
        <v>4766.26</v>
      </c>
      <c r="I47" s="60"/>
      <c r="J47" s="60"/>
      <c r="K47" s="60"/>
    </row>
    <row r="48" spans="1:247" ht="16.5" customHeight="1">
      <c r="A48" s="64" t="s">
        <v>290</v>
      </c>
      <c r="B48" s="66" t="s">
        <v>291</v>
      </c>
      <c r="C48" s="113"/>
      <c r="D48" s="59">
        <v>18000</v>
      </c>
      <c r="E48" s="59">
        <v>18000</v>
      </c>
      <c r="F48" s="59">
        <v>18000</v>
      </c>
      <c r="G48" s="88">
        <f>13215.9+1456.52+1421.31</f>
        <v>16093.73</v>
      </c>
      <c r="H48" s="88">
        <v>1421.31</v>
      </c>
      <c r="I48" s="60"/>
      <c r="J48" s="60"/>
      <c r="K48" s="60"/>
    </row>
    <row r="49" spans="1:247" ht="16.5" customHeight="1">
      <c r="A49" s="64" t="s">
        <v>292</v>
      </c>
      <c r="B49" s="66" t="s">
        <v>293</v>
      </c>
      <c r="C49" s="113"/>
      <c r="D49" s="59">
        <v>12000</v>
      </c>
      <c r="E49" s="59">
        <v>12000</v>
      </c>
      <c r="F49" s="59">
        <v>7150</v>
      </c>
      <c r="G49" s="88">
        <v>7150</v>
      </c>
      <c r="H49" s="88">
        <v>3000</v>
      </c>
      <c r="I49" s="60"/>
      <c r="J49" s="60"/>
      <c r="K49" s="60"/>
    </row>
    <row r="50" spans="1:247" ht="16.5" customHeight="1">
      <c r="A50" s="64" t="s">
        <v>294</v>
      </c>
      <c r="B50" s="66" t="s">
        <v>295</v>
      </c>
      <c r="C50" s="113"/>
      <c r="D50" s="59">
        <v>5000</v>
      </c>
      <c r="E50" s="59">
        <v>5000</v>
      </c>
      <c r="F50" s="59">
        <v>1000</v>
      </c>
      <c r="G50" s="88"/>
      <c r="H50" s="88"/>
      <c r="I50" s="60"/>
      <c r="J50" s="60"/>
      <c r="K50" s="60"/>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row>
    <row r="51" spans="1:247" ht="16.5" customHeight="1">
      <c r="A51" s="64" t="s">
        <v>296</v>
      </c>
      <c r="B51" s="66" t="s">
        <v>297</v>
      </c>
      <c r="C51" s="113"/>
      <c r="D51" s="59">
        <v>81000</v>
      </c>
      <c r="E51" s="59">
        <v>81000</v>
      </c>
      <c r="F51" s="59">
        <v>66000</v>
      </c>
      <c r="G51" s="88">
        <f>46000+7632.54+7507.25</f>
        <v>61139.79</v>
      </c>
      <c r="H51" s="88">
        <v>7507.25</v>
      </c>
      <c r="I51" s="60"/>
      <c r="J51" s="60"/>
      <c r="K51" s="60"/>
      <c r="L51" s="61"/>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c r="II51" s="68"/>
      <c r="IJ51" s="68"/>
      <c r="IK51" s="68"/>
      <c r="IL51" s="68"/>
      <c r="IM51" s="68"/>
    </row>
    <row r="52" spans="1:247" ht="16.5" customHeight="1">
      <c r="A52" s="57" t="s">
        <v>298</v>
      </c>
      <c r="B52" s="62" t="s">
        <v>299</v>
      </c>
      <c r="C52" s="114">
        <f t="shared" ref="C52:H52" si="22">+C53+C88</f>
        <v>0</v>
      </c>
      <c r="D52" s="114">
        <f t="shared" si="22"/>
        <v>587716370</v>
      </c>
      <c r="E52" s="114">
        <f t="shared" si="22"/>
        <v>537420660</v>
      </c>
      <c r="F52" s="114">
        <f t="shared" si="22"/>
        <v>473758560</v>
      </c>
      <c r="G52" s="114">
        <f t="shared" si="22"/>
        <v>432493700.09999996</v>
      </c>
      <c r="H52" s="114">
        <f t="shared" si="22"/>
        <v>51705494.599999994</v>
      </c>
      <c r="I52" s="60"/>
      <c r="J52" s="60"/>
      <c r="K52" s="60"/>
      <c r="L52" s="68"/>
    </row>
    <row r="53" spans="1:247" ht="16.5" customHeight="1">
      <c r="A53" s="69" t="s">
        <v>300</v>
      </c>
      <c r="B53" s="70" t="s">
        <v>301</v>
      </c>
      <c r="C53" s="115"/>
      <c r="D53" s="59">
        <v>550000</v>
      </c>
      <c r="E53" s="59">
        <v>550000</v>
      </c>
      <c r="F53" s="59">
        <v>394500</v>
      </c>
      <c r="G53" s="88">
        <f>256849.89+51255.65+55323.05</f>
        <v>363428.59</v>
      </c>
      <c r="H53" s="88">
        <v>55323.05</v>
      </c>
      <c r="I53" s="60"/>
      <c r="J53" s="60"/>
      <c r="K53" s="60"/>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row>
    <row r="54" spans="1:247" s="61" customFormat="1" ht="16.5" customHeight="1">
      <c r="A54" s="64" t="s">
        <v>302</v>
      </c>
      <c r="B54" s="66" t="s">
        <v>303</v>
      </c>
      <c r="C54" s="113"/>
      <c r="D54" s="59">
        <v>54000</v>
      </c>
      <c r="E54" s="59">
        <v>54000</v>
      </c>
      <c r="F54" s="59">
        <v>37500</v>
      </c>
      <c r="G54" s="88">
        <f>23990.22+4332.79+4332.79</f>
        <v>32655.800000000003</v>
      </c>
      <c r="H54" s="88">
        <v>4332.79</v>
      </c>
      <c r="I54" s="60"/>
      <c r="J54" s="60"/>
      <c r="K54" s="60"/>
    </row>
    <row r="55" spans="1:247" s="68" customFormat="1" ht="16.5" customHeight="1">
      <c r="A55" s="64"/>
      <c r="B55" s="66" t="s">
        <v>304</v>
      </c>
      <c r="C55" s="113"/>
      <c r="D55" s="59"/>
      <c r="E55" s="59"/>
      <c r="F55" s="59"/>
      <c r="G55" s="88"/>
      <c r="H55" s="88"/>
      <c r="I55" s="60"/>
      <c r="J55" s="60"/>
      <c r="K55" s="60"/>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row>
    <row r="56" spans="1:247" ht="16.5" customHeight="1">
      <c r="A56" s="64"/>
      <c r="B56" s="66" t="s">
        <v>305</v>
      </c>
      <c r="C56" s="113"/>
      <c r="D56" s="59">
        <v>54000</v>
      </c>
      <c r="E56" s="59">
        <v>54000</v>
      </c>
      <c r="F56" s="59">
        <v>37500</v>
      </c>
      <c r="G56" s="88">
        <f>23990.22+4332.79+4332.79</f>
        <v>32655.800000000003</v>
      </c>
      <c r="H56" s="88">
        <v>4332.79</v>
      </c>
      <c r="I56" s="60"/>
      <c r="J56" s="60"/>
      <c r="K56" s="60"/>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row>
    <row r="57" spans="1:247" s="61" customFormat="1" ht="16.5" customHeight="1">
      <c r="A57" s="57" t="s">
        <v>306</v>
      </c>
      <c r="B57" s="66" t="s">
        <v>307</v>
      </c>
      <c r="C57" s="113"/>
      <c r="D57" s="59">
        <v>600000</v>
      </c>
      <c r="E57" s="59">
        <v>600000</v>
      </c>
      <c r="F57" s="59">
        <v>600000</v>
      </c>
      <c r="G57" s="88">
        <f>300000+298103.22</f>
        <v>598103.22</v>
      </c>
      <c r="H57" s="88"/>
      <c r="I57" s="60"/>
      <c r="J57" s="60"/>
      <c r="K57" s="60"/>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row>
    <row r="58" spans="1:247" s="61" customFormat="1" ht="16.5" customHeight="1">
      <c r="A58" s="57" t="s">
        <v>308</v>
      </c>
      <c r="B58" s="62" t="s">
        <v>309</v>
      </c>
      <c r="C58" s="116">
        <f t="shared" ref="C58:H58" si="23">+C59</f>
        <v>0</v>
      </c>
      <c r="D58" s="116">
        <f t="shared" si="23"/>
        <v>18000</v>
      </c>
      <c r="E58" s="116">
        <f t="shared" si="23"/>
        <v>18000</v>
      </c>
      <c r="F58" s="116">
        <f t="shared" si="23"/>
        <v>6000</v>
      </c>
      <c r="G58" s="116">
        <f t="shared" si="23"/>
        <v>0</v>
      </c>
      <c r="H58" s="116">
        <f t="shared" si="23"/>
        <v>0</v>
      </c>
      <c r="I58" s="60"/>
      <c r="J58" s="60"/>
      <c r="K58" s="60"/>
      <c r="L58" s="44"/>
    </row>
    <row r="59" spans="1:247" s="61" customFormat="1" ht="16.5" customHeight="1">
      <c r="A59" s="64" t="s">
        <v>310</v>
      </c>
      <c r="B59" s="66" t="s">
        <v>311</v>
      </c>
      <c r="C59" s="113"/>
      <c r="D59" s="59">
        <v>18000</v>
      </c>
      <c r="E59" s="59">
        <v>18000</v>
      </c>
      <c r="F59" s="59">
        <v>6000</v>
      </c>
      <c r="G59" s="88"/>
      <c r="H59" s="88"/>
      <c r="I59" s="60"/>
      <c r="J59" s="60"/>
      <c r="K59" s="60"/>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row>
    <row r="60" spans="1:247" s="61" customFormat="1" ht="16.5" customHeight="1">
      <c r="A60" s="57" t="s">
        <v>312</v>
      </c>
      <c r="B60" s="62" t="s">
        <v>313</v>
      </c>
      <c r="C60" s="112">
        <f t="shared" ref="C60:H60" si="24">+C61+C62</f>
        <v>0</v>
      </c>
      <c r="D60" s="112">
        <f t="shared" si="24"/>
        <v>7000</v>
      </c>
      <c r="E60" s="112">
        <f t="shared" si="24"/>
        <v>7000</v>
      </c>
      <c r="F60" s="112">
        <f t="shared" si="24"/>
        <v>3800</v>
      </c>
      <c r="G60" s="112">
        <f t="shared" si="24"/>
        <v>2049.13</v>
      </c>
      <c r="H60" s="112">
        <f t="shared" si="24"/>
        <v>0</v>
      </c>
      <c r="I60" s="60"/>
      <c r="J60" s="60"/>
      <c r="K60" s="60"/>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row>
    <row r="61" spans="1:247" ht="16.5" customHeight="1">
      <c r="A61" s="57" t="s">
        <v>314</v>
      </c>
      <c r="B61" s="66" t="s">
        <v>315</v>
      </c>
      <c r="C61" s="113"/>
      <c r="D61" s="59">
        <v>7000</v>
      </c>
      <c r="E61" s="59">
        <v>7000</v>
      </c>
      <c r="F61" s="59">
        <v>3800</v>
      </c>
      <c r="G61" s="88">
        <v>2049.13</v>
      </c>
      <c r="H61" s="88">
        <v>0</v>
      </c>
      <c r="I61" s="60"/>
      <c r="J61" s="60"/>
      <c r="K61" s="60"/>
    </row>
    <row r="62" spans="1:247" s="61" customFormat="1" ht="16.5" customHeight="1">
      <c r="A62" s="57" t="s">
        <v>316</v>
      </c>
      <c r="B62" s="66" t="s">
        <v>317</v>
      </c>
      <c r="C62" s="113"/>
      <c r="D62" s="59"/>
      <c r="E62" s="59"/>
      <c r="F62" s="59"/>
      <c r="G62" s="88"/>
      <c r="H62" s="88"/>
      <c r="I62" s="60"/>
      <c r="J62" s="60"/>
      <c r="K62" s="60"/>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row>
    <row r="63" spans="1:247" ht="16.5" customHeight="1">
      <c r="A63" s="64" t="s">
        <v>318</v>
      </c>
      <c r="B63" s="66" t="s">
        <v>319</v>
      </c>
      <c r="C63" s="113"/>
      <c r="D63" s="59">
        <v>1000</v>
      </c>
      <c r="E63" s="59">
        <v>1000</v>
      </c>
      <c r="F63" s="59">
        <v>250</v>
      </c>
      <c r="G63" s="88"/>
      <c r="H63" s="88"/>
      <c r="I63" s="60"/>
      <c r="J63" s="60"/>
      <c r="K63" s="60"/>
    </row>
    <row r="64" spans="1:247" ht="16.5" customHeight="1">
      <c r="A64" s="64" t="s">
        <v>320</v>
      </c>
      <c r="B64" s="65" t="s">
        <v>321</v>
      </c>
      <c r="C64" s="113"/>
      <c r="D64" s="59"/>
      <c r="E64" s="59"/>
      <c r="F64" s="59"/>
      <c r="G64" s="88"/>
      <c r="H64" s="88"/>
      <c r="I64" s="60"/>
      <c r="J64" s="60"/>
      <c r="K64" s="60"/>
    </row>
    <row r="65" spans="1:247" ht="16.5" customHeight="1">
      <c r="A65" s="64" t="s">
        <v>322</v>
      </c>
      <c r="B65" s="66" t="s">
        <v>323</v>
      </c>
      <c r="C65" s="113"/>
      <c r="D65" s="59"/>
      <c r="E65" s="59"/>
      <c r="F65" s="59"/>
      <c r="G65" s="88"/>
      <c r="H65" s="88"/>
      <c r="I65" s="60"/>
      <c r="J65" s="60"/>
      <c r="K65" s="60"/>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row>
    <row r="66" spans="1:247" ht="16.5" customHeight="1">
      <c r="A66" s="64" t="s">
        <v>324</v>
      </c>
      <c r="B66" s="66" t="s">
        <v>325</v>
      </c>
      <c r="C66" s="113"/>
      <c r="D66" s="59">
        <v>4000</v>
      </c>
      <c r="E66" s="59">
        <v>4000</v>
      </c>
      <c r="F66" s="59">
        <v>1000</v>
      </c>
      <c r="G66" s="88"/>
      <c r="H66" s="88"/>
      <c r="I66" s="60"/>
      <c r="J66" s="60"/>
      <c r="K66" s="60"/>
      <c r="L66" s="61"/>
    </row>
    <row r="67" spans="1:247" ht="30">
      <c r="A67" s="64" t="s">
        <v>326</v>
      </c>
      <c r="B67" s="66" t="s">
        <v>327</v>
      </c>
      <c r="C67" s="113"/>
      <c r="D67" s="59"/>
      <c r="E67" s="59"/>
      <c r="F67" s="59"/>
      <c r="G67" s="88"/>
      <c r="H67" s="88"/>
      <c r="I67" s="60"/>
      <c r="J67" s="60"/>
      <c r="K67" s="60"/>
      <c r="L67" s="61"/>
    </row>
    <row r="68" spans="1:247" ht="16.5" customHeight="1">
      <c r="A68" s="57" t="s">
        <v>328</v>
      </c>
      <c r="B68" s="62" t="s">
        <v>329</v>
      </c>
      <c r="C68" s="116">
        <f t="shared" ref="C68:H68" si="25">+C69+C70</f>
        <v>0</v>
      </c>
      <c r="D68" s="116">
        <f t="shared" si="25"/>
        <v>0</v>
      </c>
      <c r="E68" s="116">
        <f t="shared" si="25"/>
        <v>0</v>
      </c>
      <c r="F68" s="116">
        <f t="shared" si="25"/>
        <v>0</v>
      </c>
      <c r="G68" s="116">
        <f t="shared" si="25"/>
        <v>0</v>
      </c>
      <c r="H68" s="116">
        <f t="shared" si="25"/>
        <v>0</v>
      </c>
      <c r="I68" s="60"/>
      <c r="J68" s="60"/>
      <c r="K68" s="60"/>
    </row>
    <row r="69" spans="1:247" ht="16.5" customHeight="1">
      <c r="A69" s="64" t="s">
        <v>330</v>
      </c>
      <c r="B69" s="66" t="s">
        <v>331</v>
      </c>
      <c r="C69" s="113"/>
      <c r="D69" s="59"/>
      <c r="E69" s="59"/>
      <c r="F69" s="59"/>
      <c r="G69" s="88"/>
      <c r="H69" s="88"/>
      <c r="I69" s="60"/>
      <c r="J69" s="60"/>
      <c r="K69" s="60"/>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row>
    <row r="70" spans="1:247" s="61" customFormat="1" ht="16.5" customHeight="1">
      <c r="A70" s="64" t="s">
        <v>332</v>
      </c>
      <c r="B70" s="66" t="s">
        <v>333</v>
      </c>
      <c r="C70" s="113"/>
      <c r="D70" s="59"/>
      <c r="E70" s="59"/>
      <c r="F70" s="59"/>
      <c r="G70" s="131"/>
      <c r="H70" s="131"/>
      <c r="I70" s="60"/>
      <c r="J70" s="60"/>
      <c r="K70" s="60"/>
    </row>
    <row r="71" spans="1:247" ht="16.5" customHeight="1">
      <c r="A71" s="57" t="s">
        <v>334</v>
      </c>
      <c r="B71" s="62" t="s">
        <v>223</v>
      </c>
      <c r="C71" s="111">
        <f>+C72</f>
        <v>0</v>
      </c>
      <c r="D71" s="111">
        <f t="shared" ref="D71:H72" si="26">+D72</f>
        <v>0</v>
      </c>
      <c r="E71" s="111">
        <f t="shared" si="26"/>
        <v>0</v>
      </c>
      <c r="F71" s="111">
        <f t="shared" si="26"/>
        <v>0</v>
      </c>
      <c r="G71" s="111">
        <f t="shared" si="26"/>
        <v>0</v>
      </c>
      <c r="H71" s="111">
        <f t="shared" si="26"/>
        <v>0</v>
      </c>
      <c r="I71" s="60"/>
      <c r="J71" s="60"/>
      <c r="K71" s="60"/>
      <c r="L71" s="61"/>
    </row>
    <row r="72" spans="1:247" ht="16.5" customHeight="1">
      <c r="A72" s="71" t="s">
        <v>335</v>
      </c>
      <c r="B72" s="62" t="s">
        <v>336</v>
      </c>
      <c r="C72" s="111">
        <f>+C73</f>
        <v>0</v>
      </c>
      <c r="D72" s="111">
        <f t="shared" si="26"/>
        <v>0</v>
      </c>
      <c r="E72" s="111">
        <f t="shared" si="26"/>
        <v>0</v>
      </c>
      <c r="F72" s="111">
        <f t="shared" si="26"/>
        <v>0</v>
      </c>
      <c r="G72" s="111">
        <f t="shared" si="26"/>
        <v>0</v>
      </c>
      <c r="H72" s="111">
        <f t="shared" si="26"/>
        <v>0</v>
      </c>
      <c r="I72" s="60"/>
      <c r="J72" s="60"/>
      <c r="K72" s="60"/>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row>
    <row r="73" spans="1:247" s="61" customFormat="1" ht="16.5" customHeight="1">
      <c r="A73" s="71" t="s">
        <v>337</v>
      </c>
      <c r="B73" s="66" t="s">
        <v>338</v>
      </c>
      <c r="C73" s="113"/>
      <c r="D73" s="59"/>
      <c r="E73" s="59"/>
      <c r="F73" s="59"/>
      <c r="G73" s="88"/>
      <c r="H73" s="88"/>
      <c r="I73" s="60"/>
      <c r="J73" s="60"/>
      <c r="K73" s="60"/>
    </row>
    <row r="74" spans="1:247" s="61" customFormat="1" ht="16.5" customHeight="1">
      <c r="A74" s="71" t="s">
        <v>339</v>
      </c>
      <c r="B74" s="72" t="s">
        <v>231</v>
      </c>
      <c r="C74" s="113">
        <f t="shared" ref="C74:H74" si="27">C75+C76</f>
        <v>0</v>
      </c>
      <c r="D74" s="113">
        <f t="shared" si="27"/>
        <v>9000</v>
      </c>
      <c r="E74" s="113">
        <f t="shared" si="27"/>
        <v>9000</v>
      </c>
      <c r="F74" s="113">
        <f t="shared" si="27"/>
        <v>7300</v>
      </c>
      <c r="G74" s="113">
        <f>G75+G76</f>
        <v>5001</v>
      </c>
      <c r="H74" s="113">
        <f t="shared" si="27"/>
        <v>720</v>
      </c>
      <c r="I74" s="60"/>
      <c r="J74" s="60"/>
      <c r="K74" s="60"/>
    </row>
    <row r="75" spans="1:247" s="61" customFormat="1" ht="16.5" customHeight="1">
      <c r="A75" s="71" t="s">
        <v>340</v>
      </c>
      <c r="B75" s="73" t="s">
        <v>341</v>
      </c>
      <c r="C75" s="113"/>
      <c r="D75" s="59"/>
      <c r="E75" s="59"/>
      <c r="F75" s="59"/>
      <c r="G75" s="88"/>
      <c r="H75" s="88"/>
      <c r="I75" s="60"/>
      <c r="J75" s="60"/>
      <c r="K75" s="60"/>
    </row>
    <row r="76" spans="1:247" ht="16.5" customHeight="1">
      <c r="A76" s="71" t="s">
        <v>342</v>
      </c>
      <c r="B76" s="73" t="s">
        <v>343</v>
      </c>
      <c r="C76" s="113"/>
      <c r="D76" s="59">
        <v>9000</v>
      </c>
      <c r="E76" s="59">
        <v>9000</v>
      </c>
      <c r="F76" s="59">
        <v>7300</v>
      </c>
      <c r="G76" s="88">
        <f>3561+720+720</f>
        <v>5001</v>
      </c>
      <c r="H76" s="88">
        <v>720</v>
      </c>
      <c r="I76" s="60"/>
      <c r="J76" s="60"/>
      <c r="K76" s="60"/>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row>
    <row r="77" spans="1:247" s="61" customFormat="1" ht="16.5" customHeight="1">
      <c r="A77" s="57" t="s">
        <v>344</v>
      </c>
      <c r="B77" s="62" t="s">
        <v>233</v>
      </c>
      <c r="C77" s="112">
        <f t="shared" ref="C77:H77" si="28">+C78</f>
        <v>0</v>
      </c>
      <c r="D77" s="112">
        <f t="shared" si="28"/>
        <v>1470000</v>
      </c>
      <c r="E77" s="112">
        <f t="shared" si="28"/>
        <v>1470000</v>
      </c>
      <c r="F77" s="112">
        <f t="shared" si="28"/>
        <v>1470000</v>
      </c>
      <c r="G77" s="112">
        <f t="shared" si="28"/>
        <v>99630.05</v>
      </c>
      <c r="H77" s="112">
        <f t="shared" si="28"/>
        <v>0</v>
      </c>
      <c r="I77" s="60"/>
      <c r="J77" s="60"/>
      <c r="K77" s="60"/>
    </row>
    <row r="78" spans="1:247" s="61" customFormat="1" ht="16.5" customHeight="1">
      <c r="A78" s="57" t="s">
        <v>345</v>
      </c>
      <c r="B78" s="62" t="s">
        <v>235</v>
      </c>
      <c r="C78" s="112">
        <f t="shared" ref="C78:H78" si="29">+C79+C84</f>
        <v>0</v>
      </c>
      <c r="D78" s="112">
        <f t="shared" si="29"/>
        <v>1470000</v>
      </c>
      <c r="E78" s="112">
        <f t="shared" si="29"/>
        <v>1470000</v>
      </c>
      <c r="F78" s="112">
        <f t="shared" si="29"/>
        <v>1470000</v>
      </c>
      <c r="G78" s="112">
        <f t="shared" si="29"/>
        <v>99630.05</v>
      </c>
      <c r="H78" s="112">
        <f t="shared" si="29"/>
        <v>0</v>
      </c>
      <c r="I78" s="60"/>
      <c r="J78" s="60"/>
      <c r="K78" s="60"/>
    </row>
    <row r="79" spans="1:247" s="61" customFormat="1" ht="16.5" customHeight="1">
      <c r="A79" s="57" t="s">
        <v>346</v>
      </c>
      <c r="B79" s="62" t="s">
        <v>347</v>
      </c>
      <c r="C79" s="112">
        <f t="shared" ref="C79:H79" si="30">+C81+C83+C82+C80</f>
        <v>0</v>
      </c>
      <c r="D79" s="112">
        <f t="shared" si="30"/>
        <v>140000</v>
      </c>
      <c r="E79" s="112">
        <f t="shared" si="30"/>
        <v>140000</v>
      </c>
      <c r="F79" s="112">
        <f t="shared" si="30"/>
        <v>140000</v>
      </c>
      <c r="G79" s="112">
        <f t="shared" si="30"/>
        <v>99630.05</v>
      </c>
      <c r="H79" s="112">
        <f t="shared" si="30"/>
        <v>0</v>
      </c>
      <c r="I79" s="60"/>
      <c r="J79" s="60"/>
      <c r="K79" s="60"/>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row>
    <row r="80" spans="1:247" s="61" customFormat="1" ht="16.5" customHeight="1">
      <c r="A80" s="57" t="s">
        <v>348</v>
      </c>
      <c r="B80" s="65" t="s">
        <v>349</v>
      </c>
      <c r="C80" s="112"/>
      <c r="D80" s="59"/>
      <c r="E80" s="59"/>
      <c r="F80" s="59"/>
      <c r="G80" s="88"/>
      <c r="H80" s="88"/>
      <c r="I80" s="60"/>
      <c r="J80" s="60"/>
      <c r="K80" s="60"/>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row>
    <row r="81" spans="1:247" s="61" customFormat="1" ht="16.5" customHeight="1">
      <c r="A81" s="64" t="s">
        <v>350</v>
      </c>
      <c r="B81" s="66" t="s">
        <v>351</v>
      </c>
      <c r="C81" s="113"/>
      <c r="D81" s="59">
        <v>140000</v>
      </c>
      <c r="E81" s="59">
        <v>140000</v>
      </c>
      <c r="F81" s="59">
        <v>140000</v>
      </c>
      <c r="G81" s="88">
        <v>99630.05</v>
      </c>
      <c r="H81" s="88"/>
      <c r="I81" s="60"/>
      <c r="J81" s="60"/>
      <c r="K81" s="60"/>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row>
    <row r="82" spans="1:247" s="61" customFormat="1" ht="16.5" customHeight="1">
      <c r="A82" s="64" t="s">
        <v>352</v>
      </c>
      <c r="B82" s="65" t="s">
        <v>353</v>
      </c>
      <c r="C82" s="113"/>
      <c r="D82" s="59"/>
      <c r="E82" s="59"/>
      <c r="F82" s="59"/>
      <c r="G82" s="88"/>
      <c r="H82" s="88"/>
      <c r="I82" s="60"/>
      <c r="J82" s="60"/>
      <c r="K82" s="60"/>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row>
    <row r="83" spans="1:247" ht="16.5" customHeight="1">
      <c r="A83" s="64" t="s">
        <v>354</v>
      </c>
      <c r="B83" s="66" t="s">
        <v>355</v>
      </c>
      <c r="C83" s="113"/>
      <c r="D83" s="59"/>
      <c r="E83" s="59"/>
      <c r="F83" s="59"/>
      <c r="G83" s="88"/>
      <c r="H83" s="88"/>
      <c r="I83" s="60"/>
      <c r="J83" s="60"/>
      <c r="K83" s="60"/>
    </row>
    <row r="84" spans="1:247" ht="16.5" customHeight="1">
      <c r="A84" s="74" t="s">
        <v>356</v>
      </c>
      <c r="B84" s="65" t="s">
        <v>357</v>
      </c>
      <c r="C84" s="113"/>
      <c r="D84" s="59">
        <v>1330000</v>
      </c>
      <c r="E84" s="59">
        <v>1330000</v>
      </c>
      <c r="F84" s="59">
        <v>1330000</v>
      </c>
      <c r="G84" s="88">
        <v>0</v>
      </c>
      <c r="H84" s="88"/>
      <c r="I84" s="60"/>
      <c r="J84" s="60"/>
      <c r="K84" s="60"/>
    </row>
    <row r="85" spans="1:247" ht="16.5" customHeight="1">
      <c r="A85" s="64" t="s">
        <v>243</v>
      </c>
      <c r="B85" s="66" t="s">
        <v>358</v>
      </c>
      <c r="C85" s="113"/>
      <c r="D85" s="59"/>
      <c r="E85" s="59"/>
      <c r="F85" s="59"/>
      <c r="G85" s="88"/>
      <c r="H85" s="88"/>
      <c r="I85" s="60"/>
      <c r="J85" s="60"/>
      <c r="K85" s="60"/>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c r="HE85" s="68"/>
      <c r="HF85" s="68"/>
      <c r="HG85" s="68"/>
      <c r="HH85" s="68"/>
      <c r="HI85" s="68"/>
      <c r="HJ85" s="68"/>
      <c r="HK85" s="68"/>
      <c r="HL85" s="68"/>
      <c r="HM85" s="68"/>
      <c r="HN85" s="68"/>
      <c r="HO85" s="68"/>
      <c r="HP85" s="68"/>
      <c r="HQ85" s="68"/>
      <c r="HR85" s="68"/>
      <c r="HS85" s="68"/>
      <c r="HT85" s="68"/>
      <c r="HU85" s="68"/>
      <c r="HV85" s="68"/>
      <c r="HW85" s="68"/>
      <c r="HX85" s="68"/>
      <c r="HY85" s="68"/>
      <c r="HZ85" s="68"/>
      <c r="IA85" s="68"/>
      <c r="IB85" s="68"/>
      <c r="IC85" s="68"/>
      <c r="ID85" s="68"/>
      <c r="IE85" s="68"/>
      <c r="IF85" s="68"/>
      <c r="IG85" s="68"/>
      <c r="IH85" s="68"/>
      <c r="II85" s="68"/>
      <c r="IJ85" s="68"/>
      <c r="IK85" s="68"/>
      <c r="IL85" s="68"/>
      <c r="IM85" s="68"/>
    </row>
    <row r="86" spans="1:247" ht="16.5" customHeight="1">
      <c r="A86" s="64" t="s">
        <v>359</v>
      </c>
      <c r="B86" s="66" t="s">
        <v>360</v>
      </c>
      <c r="C86" s="111">
        <f>C43-C88+C9+C11+C12+C14+C15+C16-C85</f>
        <v>0</v>
      </c>
      <c r="D86" s="111">
        <f t="shared" ref="D86:H86" si="31">D43-D88+D9+D11+D12+D14+D15+D16-D85</f>
        <v>281771620</v>
      </c>
      <c r="E86" s="111">
        <f t="shared" si="31"/>
        <v>281771620</v>
      </c>
      <c r="F86" s="111">
        <f t="shared" si="31"/>
        <v>254120190</v>
      </c>
      <c r="G86" s="111">
        <f t="shared" si="31"/>
        <v>223744214.09000003</v>
      </c>
      <c r="H86" s="111">
        <f t="shared" si="31"/>
        <v>27561277.659999996</v>
      </c>
      <c r="I86" s="60"/>
      <c r="J86" s="60"/>
      <c r="K86" s="60"/>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c r="HE86" s="68"/>
      <c r="HF86" s="68"/>
      <c r="HG86" s="68"/>
      <c r="HH86" s="68"/>
      <c r="HI86" s="68"/>
      <c r="HJ86" s="68"/>
      <c r="HK86" s="68"/>
      <c r="HL86" s="68"/>
      <c r="HM86" s="68"/>
      <c r="HN86" s="68"/>
      <c r="HO86" s="68"/>
      <c r="HP86" s="68"/>
      <c r="HQ86" s="68"/>
      <c r="HR86" s="68"/>
      <c r="HS86" s="68"/>
      <c r="HT86" s="68"/>
      <c r="HU86" s="68"/>
      <c r="HV86" s="68"/>
      <c r="HW86" s="68"/>
      <c r="HX86" s="68"/>
      <c r="HY86" s="68"/>
      <c r="HZ86" s="68"/>
      <c r="IA86" s="68"/>
      <c r="IB86" s="68"/>
      <c r="IC86" s="68"/>
      <c r="ID86" s="68"/>
      <c r="IE86" s="68"/>
      <c r="IF86" s="68"/>
      <c r="IG86" s="68"/>
      <c r="IH86" s="68"/>
      <c r="II86" s="68"/>
      <c r="IJ86" s="68"/>
      <c r="IK86" s="68"/>
      <c r="IL86" s="68"/>
      <c r="IM86" s="68"/>
    </row>
    <row r="87" spans="1:247" ht="16.5" customHeight="1">
      <c r="A87" s="64"/>
      <c r="B87" s="66" t="s">
        <v>361</v>
      </c>
      <c r="C87" s="111"/>
      <c r="D87" s="59"/>
      <c r="E87" s="59"/>
      <c r="F87" s="59"/>
      <c r="G87" s="132">
        <v>-1357</v>
      </c>
      <c r="H87" s="132"/>
      <c r="I87" s="60"/>
      <c r="J87" s="60"/>
      <c r="K87" s="60"/>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c r="HE87" s="68"/>
      <c r="HF87" s="68"/>
      <c r="HG87" s="68"/>
      <c r="HH87" s="68"/>
      <c r="HI87" s="68"/>
      <c r="HJ87" s="68"/>
      <c r="HK87" s="68"/>
      <c r="HL87" s="68"/>
      <c r="HM87" s="68"/>
      <c r="HN87" s="68"/>
      <c r="HO87" s="68"/>
      <c r="HP87" s="68"/>
      <c r="HQ87" s="68"/>
      <c r="HR87" s="68"/>
      <c r="HS87" s="68"/>
      <c r="HT87" s="68"/>
      <c r="HU87" s="68"/>
      <c r="HV87" s="68"/>
      <c r="HW87" s="68"/>
      <c r="HX87" s="68"/>
      <c r="HY87" s="68"/>
      <c r="HZ87" s="68"/>
      <c r="IA87" s="68"/>
      <c r="IB87" s="68"/>
      <c r="IC87" s="68"/>
      <c r="ID87" s="68"/>
      <c r="IE87" s="68"/>
      <c r="IF87" s="68"/>
      <c r="IG87" s="68"/>
      <c r="IH87" s="68"/>
      <c r="II87" s="68"/>
      <c r="IJ87" s="68"/>
      <c r="IK87" s="68"/>
      <c r="IL87" s="68"/>
      <c r="IM87" s="68"/>
    </row>
    <row r="88" spans="1:247" ht="16.5" customHeight="1">
      <c r="A88" s="64" t="s">
        <v>362</v>
      </c>
      <c r="B88" s="62" t="s">
        <v>363</v>
      </c>
      <c r="C88" s="117">
        <f>+C89+C180+C219+C223+C248+C250</f>
        <v>0</v>
      </c>
      <c r="D88" s="117">
        <f t="shared" ref="D88:H88" si="32">+D89+D180+D219+D223+D248+D250</f>
        <v>587166370</v>
      </c>
      <c r="E88" s="117">
        <f t="shared" si="32"/>
        <v>536870660</v>
      </c>
      <c r="F88" s="117">
        <f t="shared" si="32"/>
        <v>473364060</v>
      </c>
      <c r="G88" s="117">
        <f t="shared" si="32"/>
        <v>432130271.50999999</v>
      </c>
      <c r="H88" s="117">
        <f t="shared" si="32"/>
        <v>51650171.549999997</v>
      </c>
      <c r="I88" s="60"/>
      <c r="J88" s="60"/>
      <c r="K88" s="60"/>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c r="HE88" s="68"/>
      <c r="HF88" s="68"/>
      <c r="HG88" s="68"/>
      <c r="HH88" s="68"/>
      <c r="HI88" s="68"/>
      <c r="HJ88" s="68"/>
      <c r="HK88" s="68"/>
      <c r="HL88" s="68"/>
      <c r="HM88" s="68"/>
      <c r="HN88" s="68"/>
      <c r="HO88" s="68"/>
      <c r="HP88" s="68"/>
      <c r="HQ88" s="68"/>
      <c r="HR88" s="68"/>
      <c r="HS88" s="68"/>
      <c r="HT88" s="68"/>
      <c r="HU88" s="68"/>
      <c r="HV88" s="68"/>
      <c r="HW88" s="68"/>
      <c r="HX88" s="68"/>
      <c r="HY88" s="68"/>
      <c r="HZ88" s="68"/>
      <c r="IA88" s="68"/>
      <c r="IB88" s="68"/>
      <c r="IC88" s="68"/>
      <c r="ID88" s="68"/>
      <c r="IE88" s="68"/>
      <c r="IF88" s="68"/>
      <c r="IG88" s="68"/>
      <c r="IH88" s="68"/>
      <c r="II88" s="68"/>
      <c r="IJ88" s="68"/>
      <c r="IK88" s="68"/>
      <c r="IL88" s="68"/>
      <c r="IM88" s="68"/>
    </row>
    <row r="89" spans="1:247" s="68" customFormat="1" ht="16.5" customHeight="1">
      <c r="A89" s="57" t="s">
        <v>364</v>
      </c>
      <c r="B89" s="62" t="s">
        <v>365</v>
      </c>
      <c r="C89" s="112">
        <f>+C90+C106+C142+C172+C176</f>
        <v>0</v>
      </c>
      <c r="D89" s="112">
        <f t="shared" ref="D89:H89" si="33">+D90+D106+D142+D172+D176</f>
        <v>181444350</v>
      </c>
      <c r="E89" s="112">
        <f t="shared" si="33"/>
        <v>178899730</v>
      </c>
      <c r="F89" s="112">
        <f t="shared" si="33"/>
        <v>174033560</v>
      </c>
      <c r="G89" s="112">
        <f t="shared" si="33"/>
        <v>170231250.97999999</v>
      </c>
      <c r="H89" s="112">
        <f t="shared" si="33"/>
        <v>13093158.889999999</v>
      </c>
      <c r="I89" s="60"/>
      <c r="J89" s="60"/>
      <c r="K89" s="60"/>
    </row>
    <row r="90" spans="1:247" s="68" customFormat="1" ht="16.5" customHeight="1">
      <c r="A90" s="64" t="s">
        <v>366</v>
      </c>
      <c r="B90" s="62" t="s">
        <v>367</v>
      </c>
      <c r="C90" s="111">
        <f t="shared" ref="C90:H90" si="34">+C91+C103+C104+C94+C97+C92+C93</f>
        <v>0</v>
      </c>
      <c r="D90" s="111">
        <f t="shared" si="34"/>
        <v>81215520</v>
      </c>
      <c r="E90" s="111">
        <f t="shared" si="34"/>
        <v>81847500</v>
      </c>
      <c r="F90" s="111">
        <f t="shared" si="34"/>
        <v>78683030</v>
      </c>
      <c r="G90" s="111">
        <f t="shared" si="34"/>
        <v>78289615.889999986</v>
      </c>
      <c r="H90" s="111">
        <f t="shared" si="34"/>
        <v>8833374.4099999983</v>
      </c>
      <c r="I90" s="60"/>
      <c r="J90" s="60"/>
      <c r="K90" s="60"/>
    </row>
    <row r="91" spans="1:247" s="68" customFormat="1" ht="16.5" customHeight="1">
      <c r="A91" s="64"/>
      <c r="B91" s="65" t="s">
        <v>368</v>
      </c>
      <c r="C91" s="113"/>
      <c r="D91" s="59">
        <v>70750000</v>
      </c>
      <c r="E91" s="59">
        <v>71275000</v>
      </c>
      <c r="F91" s="59">
        <v>68460840</v>
      </c>
      <c r="G91" s="88">
        <f>49646000+11491250+7323500</f>
        <v>68460750</v>
      </c>
      <c r="H91" s="88">
        <v>7323500</v>
      </c>
      <c r="I91" s="60"/>
      <c r="J91" s="60"/>
      <c r="K91" s="60"/>
    </row>
    <row r="92" spans="1:247" s="68" customFormat="1" ht="45">
      <c r="A92" s="64"/>
      <c r="B92" s="65" t="s">
        <v>369</v>
      </c>
      <c r="C92" s="113"/>
      <c r="D92" s="59">
        <v>530</v>
      </c>
      <c r="E92" s="59">
        <v>530</v>
      </c>
      <c r="F92" s="59">
        <v>530</v>
      </c>
      <c r="G92" s="88">
        <f>277.48+105.2+140.45</f>
        <v>523.13</v>
      </c>
      <c r="H92" s="88">
        <v>140.44999999999999</v>
      </c>
      <c r="I92" s="60"/>
      <c r="J92" s="60"/>
      <c r="K92" s="60"/>
    </row>
    <row r="93" spans="1:247" s="68" customFormat="1" ht="75">
      <c r="A93" s="64"/>
      <c r="B93" s="65" t="s">
        <v>370</v>
      </c>
      <c r="C93" s="113"/>
      <c r="D93" s="59">
        <v>430</v>
      </c>
      <c r="E93" s="59">
        <v>430</v>
      </c>
      <c r="F93" s="59">
        <v>430</v>
      </c>
      <c r="G93" s="88">
        <f>288.88+89.52+43.79</f>
        <v>422.19</v>
      </c>
      <c r="H93" s="88">
        <v>43.79</v>
      </c>
      <c r="I93" s="60"/>
      <c r="J93" s="60"/>
      <c r="K93" s="60"/>
    </row>
    <row r="94" spans="1:247" s="68" customFormat="1" ht="16.5" customHeight="1">
      <c r="A94" s="64"/>
      <c r="B94" s="65" t="s">
        <v>371</v>
      </c>
      <c r="C94" s="113">
        <f t="shared" ref="C94:H94" si="35">C95+C96</f>
        <v>0</v>
      </c>
      <c r="D94" s="113">
        <f t="shared" si="35"/>
        <v>0</v>
      </c>
      <c r="E94" s="113">
        <f t="shared" si="35"/>
        <v>0</v>
      </c>
      <c r="F94" s="113">
        <f t="shared" si="35"/>
        <v>0</v>
      </c>
      <c r="G94" s="113">
        <f t="shared" si="35"/>
        <v>0</v>
      </c>
      <c r="H94" s="113">
        <f t="shared" si="35"/>
        <v>0</v>
      </c>
      <c r="I94" s="60"/>
      <c r="J94" s="60"/>
      <c r="K94" s="60"/>
    </row>
    <row r="95" spans="1:247" s="68" customFormat="1" ht="16.5" customHeight="1">
      <c r="A95" s="64"/>
      <c r="B95" s="65" t="s">
        <v>372</v>
      </c>
      <c r="C95" s="113"/>
      <c r="D95" s="59"/>
      <c r="E95" s="59"/>
      <c r="F95" s="59"/>
      <c r="G95" s="88"/>
      <c r="H95" s="88"/>
      <c r="I95" s="60"/>
      <c r="J95" s="60"/>
      <c r="K95" s="60"/>
    </row>
    <row r="96" spans="1:247" s="68" customFormat="1" ht="75">
      <c r="A96" s="64"/>
      <c r="B96" s="65" t="s">
        <v>370</v>
      </c>
      <c r="C96" s="113"/>
      <c r="D96" s="59"/>
      <c r="E96" s="59"/>
      <c r="F96" s="59"/>
      <c r="G96" s="88"/>
      <c r="H96" s="88"/>
      <c r="I96" s="60"/>
      <c r="J96" s="60"/>
      <c r="K96" s="60"/>
    </row>
    <row r="97" spans="1:248" s="68" customFormat="1" ht="16.5" customHeight="1">
      <c r="A97" s="64"/>
      <c r="B97" s="75" t="s">
        <v>373</v>
      </c>
      <c r="C97" s="113">
        <f t="shared" ref="C97:G97" si="36">C98+C101+C102</f>
        <v>0</v>
      </c>
      <c r="D97" s="113">
        <f t="shared" si="36"/>
        <v>8475560</v>
      </c>
      <c r="E97" s="113">
        <f t="shared" si="36"/>
        <v>8589540</v>
      </c>
      <c r="F97" s="113">
        <f t="shared" si="36"/>
        <v>8579540</v>
      </c>
      <c r="G97" s="113">
        <f t="shared" si="36"/>
        <v>8551481.8200000003</v>
      </c>
      <c r="H97" s="113">
        <f t="shared" ref="H97" si="37">H98+H101+H102</f>
        <v>1297209.57</v>
      </c>
      <c r="I97" s="60"/>
      <c r="J97" s="60"/>
      <c r="K97" s="60"/>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row>
    <row r="98" spans="1:248" s="68" customFormat="1" ht="30">
      <c r="A98" s="64"/>
      <c r="B98" s="65" t="s">
        <v>374</v>
      </c>
      <c r="C98" s="113">
        <f t="shared" ref="C98:G98" si="38">C99+C100</f>
        <v>0</v>
      </c>
      <c r="D98" s="113">
        <f t="shared" si="38"/>
        <v>8196470</v>
      </c>
      <c r="E98" s="113">
        <f t="shared" si="38"/>
        <v>8321490</v>
      </c>
      <c r="F98" s="113">
        <f t="shared" si="38"/>
        <v>8321490</v>
      </c>
      <c r="G98" s="113">
        <f t="shared" si="38"/>
        <v>8321220</v>
      </c>
      <c r="H98" s="113">
        <f t="shared" ref="H98" si="39">H99+H100</f>
        <v>1254000</v>
      </c>
      <c r="I98" s="60"/>
      <c r="J98" s="60"/>
      <c r="K98" s="60"/>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row>
    <row r="99" spans="1:248">
      <c r="A99" s="64"/>
      <c r="B99" s="65" t="s">
        <v>372</v>
      </c>
      <c r="C99" s="113"/>
      <c r="D99" s="59">
        <v>8196470</v>
      </c>
      <c r="E99" s="59">
        <v>8321490</v>
      </c>
      <c r="F99" s="59">
        <v>8321490</v>
      </c>
      <c r="G99" s="88">
        <f>6091490+975730+1254000</f>
        <v>8321220</v>
      </c>
      <c r="H99" s="88">
        <v>1254000</v>
      </c>
      <c r="I99" s="60"/>
      <c r="J99" s="60"/>
      <c r="K99" s="60"/>
      <c r="L99" s="68"/>
      <c r="IN99" s="68"/>
    </row>
    <row r="100" spans="1:248" ht="75">
      <c r="A100" s="64"/>
      <c r="B100" s="65" t="s">
        <v>370</v>
      </c>
      <c r="C100" s="113"/>
      <c r="D100" s="59"/>
      <c r="E100" s="59"/>
      <c r="F100" s="59"/>
      <c r="G100" s="88"/>
      <c r="H100" s="88"/>
      <c r="I100" s="60"/>
      <c r="J100" s="60"/>
      <c r="K100" s="60"/>
      <c r="L100" s="68"/>
      <c r="IN100" s="68"/>
    </row>
    <row r="101" spans="1:248" ht="60">
      <c r="A101" s="64"/>
      <c r="B101" s="65" t="s">
        <v>375</v>
      </c>
      <c r="C101" s="113"/>
      <c r="D101" s="59">
        <v>155400</v>
      </c>
      <c r="E101" s="59">
        <v>138990</v>
      </c>
      <c r="F101" s="59">
        <v>138990</v>
      </c>
      <c r="G101" s="88">
        <f>96978.65+18703.6+22369.57</f>
        <v>138051.82</v>
      </c>
      <c r="H101" s="88">
        <v>22369.57</v>
      </c>
      <c r="I101" s="60"/>
      <c r="J101" s="60"/>
      <c r="K101" s="60"/>
      <c r="L101" s="68"/>
      <c r="IN101" s="68"/>
    </row>
    <row r="102" spans="1:248" ht="45">
      <c r="A102" s="64"/>
      <c r="B102" s="65" t="s">
        <v>376</v>
      </c>
      <c r="C102" s="113"/>
      <c r="D102" s="59">
        <v>123690</v>
      </c>
      <c r="E102" s="59">
        <v>129060</v>
      </c>
      <c r="F102" s="59">
        <v>119060</v>
      </c>
      <c r="G102" s="88">
        <f>71370+20840</f>
        <v>92210</v>
      </c>
      <c r="H102" s="88">
        <v>20840</v>
      </c>
      <c r="I102" s="60"/>
      <c r="J102" s="60"/>
      <c r="K102" s="60"/>
      <c r="L102" s="68"/>
      <c r="IN102" s="68"/>
    </row>
    <row r="103" spans="1:248" s="61" customFormat="1" ht="16.5" customHeight="1">
      <c r="A103" s="64"/>
      <c r="B103" s="65" t="s">
        <v>377</v>
      </c>
      <c r="C103" s="113"/>
      <c r="D103" s="59">
        <v>221000</v>
      </c>
      <c r="E103" s="59">
        <v>221000</v>
      </c>
      <c r="F103" s="59">
        <v>201000</v>
      </c>
      <c r="G103" s="88">
        <f>130938.15+46126.63</f>
        <v>177064.78</v>
      </c>
      <c r="H103" s="88">
        <v>46126.63</v>
      </c>
      <c r="I103" s="60"/>
      <c r="J103" s="60"/>
      <c r="K103" s="60"/>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68"/>
    </row>
    <row r="104" spans="1:248" ht="45">
      <c r="A104" s="64"/>
      <c r="B104" s="65" t="s">
        <v>378</v>
      </c>
      <c r="C104" s="113"/>
      <c r="D104" s="59">
        <v>1768000</v>
      </c>
      <c r="E104" s="59">
        <v>1761000</v>
      </c>
      <c r="F104" s="59">
        <v>1440690</v>
      </c>
      <c r="G104" s="88">
        <f>933020+166353.97</f>
        <v>1099373.97</v>
      </c>
      <c r="H104" s="88">
        <v>166353.97</v>
      </c>
      <c r="I104" s="60"/>
      <c r="J104" s="60"/>
      <c r="K104" s="60"/>
      <c r="IN104" s="68"/>
    </row>
    <row r="105" spans="1:248">
      <c r="A105" s="64"/>
      <c r="B105" s="66" t="s">
        <v>361</v>
      </c>
      <c r="C105" s="113"/>
      <c r="D105" s="59"/>
      <c r="E105" s="59"/>
      <c r="F105" s="59"/>
      <c r="G105" s="88"/>
      <c r="H105" s="88"/>
      <c r="I105" s="60"/>
      <c r="J105" s="60"/>
      <c r="K105" s="60"/>
    </row>
    <row r="106" spans="1:248" ht="30">
      <c r="A106" s="120" t="s">
        <v>379</v>
      </c>
      <c r="B106" s="62" t="s">
        <v>380</v>
      </c>
      <c r="C106" s="113">
        <f t="shared" ref="C106:H106" si="40">C107+C110+C113+C116+C119+C122+C128+C125+C131</f>
        <v>0</v>
      </c>
      <c r="D106" s="113">
        <f t="shared" si="40"/>
        <v>72314520</v>
      </c>
      <c r="E106" s="113">
        <f t="shared" si="40"/>
        <v>69677310</v>
      </c>
      <c r="F106" s="113">
        <f t="shared" si="40"/>
        <v>69677310</v>
      </c>
      <c r="G106" s="113">
        <f t="shared" si="40"/>
        <v>67378167.280000001</v>
      </c>
      <c r="H106" s="113">
        <f t="shared" si="40"/>
        <v>0</v>
      </c>
      <c r="I106" s="60"/>
      <c r="J106" s="60"/>
      <c r="K106" s="60"/>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row>
    <row r="107" spans="1:248" ht="16.5" customHeight="1">
      <c r="A107" s="64"/>
      <c r="B107" s="65" t="s">
        <v>381</v>
      </c>
      <c r="C107" s="113">
        <f t="shared" ref="C107:H107" si="41">C108+C109</f>
        <v>0</v>
      </c>
      <c r="D107" s="113">
        <f t="shared" si="41"/>
        <v>1830020</v>
      </c>
      <c r="E107" s="113">
        <f t="shared" si="41"/>
        <v>1227260</v>
      </c>
      <c r="F107" s="113">
        <f t="shared" si="41"/>
        <v>1227260</v>
      </c>
      <c r="G107" s="113">
        <f t="shared" si="41"/>
        <v>1188461.22</v>
      </c>
      <c r="H107" s="113">
        <f t="shared" si="41"/>
        <v>0</v>
      </c>
      <c r="I107" s="60"/>
      <c r="J107" s="60"/>
      <c r="K107" s="60"/>
      <c r="L107" s="61"/>
    </row>
    <row r="108" spans="1:248">
      <c r="A108" s="64"/>
      <c r="B108" s="65" t="s">
        <v>368</v>
      </c>
      <c r="C108" s="113"/>
      <c r="D108" s="59">
        <v>1830020</v>
      </c>
      <c r="E108" s="59">
        <v>1227260</v>
      </c>
      <c r="F108" s="59">
        <v>1227260</v>
      </c>
      <c r="G108" s="88">
        <f>879315.37+309145.85</f>
        <v>1188461.22</v>
      </c>
      <c r="H108" s="88"/>
      <c r="I108" s="60"/>
      <c r="J108" s="60"/>
      <c r="K108" s="60"/>
      <c r="L108" s="61"/>
    </row>
    <row r="109" spans="1:248" ht="75">
      <c r="A109" s="64"/>
      <c r="B109" s="65" t="s">
        <v>370</v>
      </c>
      <c r="C109" s="113"/>
      <c r="D109" s="59"/>
      <c r="E109" s="59"/>
      <c r="F109" s="59"/>
      <c r="G109" s="88"/>
      <c r="H109" s="88"/>
      <c r="I109" s="60"/>
      <c r="J109" s="60"/>
      <c r="K109" s="60"/>
      <c r="L109" s="61"/>
    </row>
    <row r="110" spans="1:248" ht="16.5" customHeight="1">
      <c r="A110" s="64"/>
      <c r="B110" s="65" t="s">
        <v>382</v>
      </c>
      <c r="C110" s="113">
        <f t="shared" ref="C110:H110" si="42">C111+C112</f>
        <v>0</v>
      </c>
      <c r="D110" s="113">
        <f t="shared" si="42"/>
        <v>0</v>
      </c>
      <c r="E110" s="113">
        <f t="shared" si="42"/>
        <v>0</v>
      </c>
      <c r="F110" s="113">
        <f t="shared" si="42"/>
        <v>0</v>
      </c>
      <c r="G110" s="113">
        <f t="shared" si="42"/>
        <v>0</v>
      </c>
      <c r="H110" s="113">
        <f t="shared" si="42"/>
        <v>0</v>
      </c>
      <c r="I110" s="60"/>
      <c r="J110" s="60"/>
      <c r="K110" s="60"/>
    </row>
    <row r="111" spans="1:248">
      <c r="A111" s="64"/>
      <c r="B111" s="65" t="s">
        <v>368</v>
      </c>
      <c r="C111" s="113"/>
      <c r="D111" s="59"/>
      <c r="E111" s="59"/>
      <c r="F111" s="59"/>
      <c r="G111" s="88"/>
      <c r="H111" s="88"/>
      <c r="I111" s="60"/>
      <c r="J111" s="60"/>
      <c r="K111" s="60"/>
    </row>
    <row r="112" spans="1:248" ht="75">
      <c r="A112" s="64"/>
      <c r="B112" s="65" t="s">
        <v>370</v>
      </c>
      <c r="C112" s="113"/>
      <c r="D112" s="59"/>
      <c r="E112" s="59"/>
      <c r="F112" s="59"/>
      <c r="G112" s="88"/>
      <c r="H112" s="88"/>
      <c r="I112" s="60"/>
      <c r="J112" s="60"/>
      <c r="K112" s="60"/>
    </row>
    <row r="113" spans="1:248">
      <c r="A113" s="64"/>
      <c r="B113" s="65" t="s">
        <v>383</v>
      </c>
      <c r="C113" s="113">
        <f t="shared" ref="C113:H113" si="43">C114+C115</f>
        <v>0</v>
      </c>
      <c r="D113" s="113">
        <f t="shared" si="43"/>
        <v>84430</v>
      </c>
      <c r="E113" s="113">
        <f t="shared" si="43"/>
        <v>79950</v>
      </c>
      <c r="F113" s="113">
        <f t="shared" si="43"/>
        <v>79950</v>
      </c>
      <c r="G113" s="113">
        <f t="shared" si="43"/>
        <v>79943.960000000006</v>
      </c>
      <c r="H113" s="113">
        <f t="shared" si="43"/>
        <v>0</v>
      </c>
      <c r="I113" s="60"/>
      <c r="J113" s="60"/>
      <c r="K113" s="60"/>
      <c r="IN113" s="61"/>
    </row>
    <row r="114" spans="1:248">
      <c r="A114" s="64"/>
      <c r="B114" s="65" t="s">
        <v>368</v>
      </c>
      <c r="C114" s="113"/>
      <c r="D114" s="59">
        <v>84430</v>
      </c>
      <c r="E114" s="59">
        <v>79950</v>
      </c>
      <c r="F114" s="59">
        <v>79950</v>
      </c>
      <c r="G114" s="88">
        <v>79943.960000000006</v>
      </c>
      <c r="H114" s="88">
        <v>0</v>
      </c>
      <c r="I114" s="60"/>
      <c r="J114" s="60"/>
      <c r="K114" s="60"/>
      <c r="IN114" s="61"/>
    </row>
    <row r="115" spans="1:248" ht="75">
      <c r="A115" s="64"/>
      <c r="B115" s="65" t="s">
        <v>370</v>
      </c>
      <c r="C115" s="113"/>
      <c r="D115" s="59"/>
      <c r="E115" s="59"/>
      <c r="F115" s="59"/>
      <c r="G115" s="88"/>
      <c r="H115" s="88"/>
      <c r="I115" s="60"/>
      <c r="J115" s="60"/>
      <c r="K115" s="60"/>
      <c r="IN115" s="61"/>
    </row>
    <row r="116" spans="1:248" ht="36" customHeight="1">
      <c r="A116" s="57"/>
      <c r="B116" s="65" t="s">
        <v>384</v>
      </c>
      <c r="C116" s="113">
        <f t="shared" ref="C116:H116" si="44">C117+C118</f>
        <v>0</v>
      </c>
      <c r="D116" s="113">
        <f t="shared" si="44"/>
        <v>31362000</v>
      </c>
      <c r="E116" s="113">
        <f t="shared" si="44"/>
        <v>32604340</v>
      </c>
      <c r="F116" s="113">
        <f t="shared" si="44"/>
        <v>32604340</v>
      </c>
      <c r="G116" s="113">
        <f t="shared" si="44"/>
        <v>31517460</v>
      </c>
      <c r="H116" s="113">
        <f t="shared" si="44"/>
        <v>0</v>
      </c>
      <c r="I116" s="60"/>
      <c r="J116" s="60"/>
      <c r="K116" s="60"/>
    </row>
    <row r="117" spans="1:248">
      <c r="A117" s="64"/>
      <c r="B117" s="65" t="s">
        <v>368</v>
      </c>
      <c r="C117" s="113"/>
      <c r="D117" s="59">
        <v>31362000</v>
      </c>
      <c r="E117" s="59">
        <v>32604340</v>
      </c>
      <c r="F117" s="59">
        <v>32604340</v>
      </c>
      <c r="G117" s="88">
        <f>27386330+4131130</f>
        <v>31517460</v>
      </c>
      <c r="H117" s="88"/>
      <c r="I117" s="60"/>
      <c r="J117" s="60"/>
      <c r="K117" s="60"/>
    </row>
    <row r="118" spans="1:248" ht="75">
      <c r="A118" s="64"/>
      <c r="B118" s="65" t="s">
        <v>370</v>
      </c>
      <c r="C118" s="113"/>
      <c r="D118" s="59"/>
      <c r="E118" s="59"/>
      <c r="F118" s="59"/>
      <c r="G118" s="88"/>
      <c r="H118" s="88"/>
      <c r="I118" s="60"/>
      <c r="J118" s="60"/>
      <c r="K118" s="60"/>
    </row>
    <row r="119" spans="1:248" ht="16.5" customHeight="1">
      <c r="A119" s="64"/>
      <c r="B119" s="76" t="s">
        <v>385</v>
      </c>
      <c r="C119" s="113">
        <f t="shared" ref="C119:H119" si="45">C120+C121</f>
        <v>0</v>
      </c>
      <c r="D119" s="113">
        <f t="shared" si="45"/>
        <v>34080</v>
      </c>
      <c r="E119" s="113">
        <f t="shared" si="45"/>
        <v>36560</v>
      </c>
      <c r="F119" s="113">
        <f t="shared" si="45"/>
        <v>36560</v>
      </c>
      <c r="G119" s="113">
        <f t="shared" si="45"/>
        <v>35228.82</v>
      </c>
      <c r="H119" s="113">
        <f t="shared" si="45"/>
        <v>0</v>
      </c>
      <c r="I119" s="60"/>
      <c r="J119" s="60"/>
      <c r="K119" s="60"/>
    </row>
    <row r="120" spans="1:248">
      <c r="A120" s="64"/>
      <c r="B120" s="76" t="s">
        <v>368</v>
      </c>
      <c r="C120" s="113"/>
      <c r="D120" s="59">
        <v>34080</v>
      </c>
      <c r="E120" s="59">
        <v>36560</v>
      </c>
      <c r="F120" s="59">
        <v>36560</v>
      </c>
      <c r="G120" s="88">
        <f>31768.63+3460.19</f>
        <v>35228.82</v>
      </c>
      <c r="H120" s="88"/>
      <c r="I120" s="60"/>
      <c r="J120" s="60"/>
      <c r="K120" s="60"/>
    </row>
    <row r="121" spans="1:248" ht="75">
      <c r="A121" s="64"/>
      <c r="B121" s="76" t="s">
        <v>370</v>
      </c>
      <c r="C121" s="113"/>
      <c r="D121" s="59"/>
      <c r="E121" s="59"/>
      <c r="F121" s="59"/>
      <c r="G121" s="88"/>
      <c r="H121" s="88"/>
      <c r="I121" s="60"/>
      <c r="J121" s="60"/>
      <c r="K121" s="60"/>
    </row>
    <row r="122" spans="1:248" ht="30">
      <c r="A122" s="64"/>
      <c r="B122" s="65" t="s">
        <v>386</v>
      </c>
      <c r="C122" s="113">
        <f t="shared" ref="C122:H122" si="46">C123+C124</f>
        <v>0</v>
      </c>
      <c r="D122" s="113">
        <f t="shared" si="46"/>
        <v>203820</v>
      </c>
      <c r="E122" s="113">
        <f t="shared" si="46"/>
        <v>222910</v>
      </c>
      <c r="F122" s="113">
        <f t="shared" si="46"/>
        <v>222910</v>
      </c>
      <c r="G122" s="113">
        <f t="shared" si="46"/>
        <v>216050.59000000003</v>
      </c>
      <c r="H122" s="113">
        <f t="shared" si="46"/>
        <v>0</v>
      </c>
      <c r="I122" s="60"/>
      <c r="J122" s="60"/>
      <c r="K122" s="60"/>
    </row>
    <row r="123" spans="1:248" ht="16.5" customHeight="1">
      <c r="A123" s="64"/>
      <c r="B123" s="65" t="s">
        <v>368</v>
      </c>
      <c r="C123" s="113"/>
      <c r="D123" s="59">
        <v>203820</v>
      </c>
      <c r="E123" s="59">
        <v>222910</v>
      </c>
      <c r="F123" s="59">
        <v>222910</v>
      </c>
      <c r="G123" s="88">
        <f>180565.54+35485.05</f>
        <v>216050.59000000003</v>
      </c>
      <c r="H123" s="88"/>
      <c r="I123" s="60"/>
      <c r="J123" s="60"/>
      <c r="K123" s="60"/>
    </row>
    <row r="124" spans="1:248" ht="75">
      <c r="A124" s="64"/>
      <c r="B124" s="65" t="s">
        <v>370</v>
      </c>
      <c r="C124" s="113"/>
      <c r="D124" s="59"/>
      <c r="E124" s="59"/>
      <c r="F124" s="59"/>
      <c r="G124" s="88"/>
      <c r="H124" s="88"/>
      <c r="I124" s="60"/>
      <c r="J124" s="60"/>
      <c r="K124" s="60"/>
    </row>
    <row r="125" spans="1:248" s="61" customFormat="1">
      <c r="A125" s="64"/>
      <c r="B125" s="77" t="s">
        <v>387</v>
      </c>
      <c r="C125" s="113">
        <f t="shared" ref="C125:H125" si="47">C126+C127</f>
        <v>0</v>
      </c>
      <c r="D125" s="113">
        <f t="shared" si="47"/>
        <v>0</v>
      </c>
      <c r="E125" s="113">
        <f t="shared" si="47"/>
        <v>0</v>
      </c>
      <c r="F125" s="113">
        <f t="shared" si="47"/>
        <v>0</v>
      </c>
      <c r="G125" s="113">
        <f t="shared" si="47"/>
        <v>0</v>
      </c>
      <c r="H125" s="113">
        <f t="shared" si="47"/>
        <v>0</v>
      </c>
      <c r="I125" s="60"/>
      <c r="J125" s="60"/>
      <c r="K125" s="60"/>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c r="IM125" s="44"/>
      <c r="IN125" s="44"/>
    </row>
    <row r="126" spans="1:248" s="61" customFormat="1">
      <c r="A126" s="64"/>
      <c r="B126" s="77" t="s">
        <v>368</v>
      </c>
      <c r="C126" s="113"/>
      <c r="D126" s="59"/>
      <c r="E126" s="59"/>
      <c r="F126" s="59"/>
      <c r="G126" s="88"/>
      <c r="H126" s="88"/>
      <c r="I126" s="60"/>
      <c r="J126" s="60"/>
      <c r="K126" s="60"/>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row>
    <row r="127" spans="1:248" s="61" customFormat="1" ht="75">
      <c r="A127" s="64"/>
      <c r="B127" s="77" t="s">
        <v>370</v>
      </c>
      <c r="C127" s="113"/>
      <c r="D127" s="59"/>
      <c r="E127" s="59"/>
      <c r="F127" s="59"/>
      <c r="G127" s="88"/>
      <c r="H127" s="88"/>
      <c r="I127" s="60"/>
      <c r="J127" s="60"/>
      <c r="K127" s="60"/>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row>
    <row r="128" spans="1:248" s="61" customFormat="1">
      <c r="A128" s="64"/>
      <c r="B128" s="77" t="s">
        <v>388</v>
      </c>
      <c r="C128" s="113">
        <f t="shared" ref="C128:H128" si="48">C129+C130</f>
        <v>0</v>
      </c>
      <c r="D128" s="113">
        <f t="shared" si="48"/>
        <v>24347730</v>
      </c>
      <c r="E128" s="113">
        <f t="shared" si="48"/>
        <v>21856170</v>
      </c>
      <c r="F128" s="113">
        <f t="shared" si="48"/>
        <v>21856170</v>
      </c>
      <c r="G128" s="113">
        <f t="shared" si="48"/>
        <v>21020632.370000001</v>
      </c>
      <c r="H128" s="113">
        <f t="shared" si="48"/>
        <v>0</v>
      </c>
      <c r="I128" s="60"/>
      <c r="J128" s="60"/>
      <c r="K128" s="60"/>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c r="IK128" s="44"/>
      <c r="IL128" s="44"/>
      <c r="IM128" s="44"/>
      <c r="IN128" s="44"/>
    </row>
    <row r="129" spans="1:248" s="61" customFormat="1">
      <c r="A129" s="64"/>
      <c r="B129" s="77" t="s">
        <v>368</v>
      </c>
      <c r="C129" s="113"/>
      <c r="D129" s="59">
        <v>24347730</v>
      </c>
      <c r="E129" s="59">
        <v>21856170</v>
      </c>
      <c r="F129" s="59">
        <v>21856170</v>
      </c>
      <c r="G129" s="133">
        <f>17181680+3838952.37</f>
        <v>21020632.370000001</v>
      </c>
      <c r="H129" s="133"/>
      <c r="I129" s="60"/>
      <c r="J129" s="60"/>
      <c r="K129" s="60"/>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44"/>
      <c r="ID129" s="44"/>
      <c r="IE129" s="44"/>
      <c r="IF129" s="44"/>
      <c r="IG129" s="44"/>
      <c r="IH129" s="44"/>
      <c r="II129" s="44"/>
      <c r="IJ129" s="44"/>
      <c r="IK129" s="44"/>
      <c r="IL129" s="44"/>
      <c r="IM129" s="44"/>
      <c r="IN129" s="44"/>
    </row>
    <row r="130" spans="1:248" s="61" customFormat="1" ht="75">
      <c r="A130" s="64"/>
      <c r="B130" s="77" t="s">
        <v>370</v>
      </c>
      <c r="C130" s="113"/>
      <c r="D130" s="59"/>
      <c r="E130" s="59"/>
      <c r="F130" s="59"/>
      <c r="G130" s="133"/>
      <c r="H130" s="133"/>
      <c r="I130" s="60"/>
      <c r="J130" s="60"/>
      <c r="K130" s="60"/>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44"/>
      <c r="ID130" s="44"/>
      <c r="IE130" s="44"/>
      <c r="IF130" s="44"/>
      <c r="IG130" s="44"/>
      <c r="IH130" s="44"/>
      <c r="II130" s="44"/>
      <c r="IJ130" s="44"/>
      <c r="IK130" s="44"/>
      <c r="IL130" s="44"/>
      <c r="IM130" s="44"/>
      <c r="IN130" s="44"/>
    </row>
    <row r="131" spans="1:248" s="61" customFormat="1" ht="30">
      <c r="A131" s="64"/>
      <c r="B131" s="78" t="s">
        <v>389</v>
      </c>
      <c r="C131" s="113">
        <f t="shared" ref="C131:H131" si="49">C132+C135+C138+C136+C137</f>
        <v>0</v>
      </c>
      <c r="D131" s="113">
        <f t="shared" si="49"/>
        <v>14452440</v>
      </c>
      <c r="E131" s="113">
        <f t="shared" si="49"/>
        <v>13650120</v>
      </c>
      <c r="F131" s="113">
        <f t="shared" si="49"/>
        <v>13650120</v>
      </c>
      <c r="G131" s="113">
        <f t="shared" si="49"/>
        <v>13320390.32</v>
      </c>
      <c r="H131" s="113">
        <f t="shared" si="49"/>
        <v>0</v>
      </c>
      <c r="I131" s="60"/>
      <c r="J131" s="60"/>
      <c r="K131" s="60"/>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44"/>
      <c r="ID131" s="44"/>
      <c r="IE131" s="44"/>
      <c r="IF131" s="44"/>
      <c r="IG131" s="44"/>
      <c r="IH131" s="44"/>
      <c r="II131" s="44"/>
      <c r="IJ131" s="44"/>
      <c r="IK131" s="44"/>
      <c r="IL131" s="44"/>
      <c r="IM131" s="44"/>
      <c r="IN131" s="44"/>
    </row>
    <row r="132" spans="1:248" s="61" customFormat="1" ht="30">
      <c r="A132" s="64"/>
      <c r="B132" s="77" t="s">
        <v>390</v>
      </c>
      <c r="C132" s="113">
        <f t="shared" ref="C132:H132" si="50">C133+C134</f>
        <v>0</v>
      </c>
      <c r="D132" s="113">
        <f t="shared" si="50"/>
        <v>14452440</v>
      </c>
      <c r="E132" s="113">
        <f t="shared" si="50"/>
        <v>13650120</v>
      </c>
      <c r="F132" s="113">
        <f t="shared" si="50"/>
        <v>13650120</v>
      </c>
      <c r="G132" s="113">
        <f t="shared" si="50"/>
        <v>13320390.32</v>
      </c>
      <c r="H132" s="113">
        <f t="shared" si="50"/>
        <v>0</v>
      </c>
      <c r="I132" s="60"/>
      <c r="J132" s="60"/>
      <c r="K132" s="60"/>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44"/>
      <c r="ID132" s="44"/>
      <c r="IE132" s="44"/>
      <c r="IF132" s="44"/>
      <c r="IG132" s="44"/>
      <c r="IH132" s="44"/>
      <c r="II132" s="44"/>
      <c r="IJ132" s="44"/>
      <c r="IK132" s="44"/>
      <c r="IL132" s="44"/>
      <c r="IM132" s="44"/>
      <c r="IN132" s="44"/>
    </row>
    <row r="133" spans="1:248" s="61" customFormat="1" ht="16.5" customHeight="1">
      <c r="A133" s="64"/>
      <c r="B133" s="77" t="s">
        <v>368</v>
      </c>
      <c r="C133" s="113"/>
      <c r="D133" s="59">
        <v>14452440</v>
      </c>
      <c r="E133" s="59">
        <v>13650120</v>
      </c>
      <c r="F133" s="59">
        <v>13650120</v>
      </c>
      <c r="G133" s="88">
        <f>11635551.34+1684838.98</f>
        <v>13320390.32</v>
      </c>
      <c r="H133" s="88"/>
      <c r="I133" s="60"/>
      <c r="J133" s="60"/>
      <c r="K133" s="60"/>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c r="IK133" s="44"/>
      <c r="IL133" s="44"/>
      <c r="IM133" s="44"/>
      <c r="IN133" s="44"/>
    </row>
    <row r="134" spans="1:248" s="61" customFormat="1" ht="75">
      <c r="A134" s="64"/>
      <c r="B134" s="77" t="s">
        <v>370</v>
      </c>
      <c r="C134" s="113"/>
      <c r="D134" s="59"/>
      <c r="E134" s="59"/>
      <c r="F134" s="59"/>
      <c r="G134" s="88"/>
      <c r="H134" s="88"/>
      <c r="I134" s="60"/>
      <c r="J134" s="60"/>
      <c r="K134" s="60"/>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44"/>
      <c r="ID134" s="44"/>
      <c r="IE134" s="44"/>
      <c r="IF134" s="44"/>
      <c r="IG134" s="44"/>
      <c r="IH134" s="44"/>
      <c r="II134" s="44"/>
      <c r="IJ134" s="44"/>
      <c r="IK134" s="44"/>
      <c r="IL134" s="44"/>
      <c r="IM134" s="44"/>
      <c r="IN134" s="44"/>
    </row>
    <row r="135" spans="1:248" s="61" customFormat="1" ht="16.5" customHeight="1">
      <c r="A135" s="64"/>
      <c r="B135" s="77" t="s">
        <v>391</v>
      </c>
      <c r="C135" s="113"/>
      <c r="D135" s="59"/>
      <c r="E135" s="59"/>
      <c r="F135" s="59"/>
      <c r="G135" s="88"/>
      <c r="H135" s="88"/>
      <c r="I135" s="60"/>
      <c r="J135" s="60"/>
      <c r="K135" s="60"/>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44"/>
      <c r="ID135" s="44"/>
      <c r="IE135" s="44"/>
      <c r="IF135" s="44"/>
      <c r="IG135" s="44"/>
      <c r="IH135" s="44"/>
      <c r="II135" s="44"/>
      <c r="IJ135" s="44"/>
      <c r="IK135" s="44"/>
      <c r="IL135" s="44"/>
      <c r="IM135" s="44"/>
      <c r="IN135" s="44"/>
    </row>
    <row r="136" spans="1:248" ht="30">
      <c r="A136" s="57"/>
      <c r="B136" s="77" t="s">
        <v>392</v>
      </c>
      <c r="C136" s="113"/>
      <c r="D136" s="59"/>
      <c r="E136" s="59"/>
      <c r="F136" s="59"/>
      <c r="G136" s="88"/>
      <c r="H136" s="88"/>
      <c r="I136" s="60"/>
      <c r="J136" s="60"/>
      <c r="K136" s="60"/>
    </row>
    <row r="137" spans="1:248" ht="16.5" customHeight="1">
      <c r="A137" s="57"/>
      <c r="B137" s="77" t="s">
        <v>393</v>
      </c>
      <c r="C137" s="113"/>
      <c r="D137" s="59"/>
      <c r="E137" s="59"/>
      <c r="F137" s="59"/>
      <c r="G137" s="88"/>
      <c r="H137" s="88"/>
      <c r="I137" s="60"/>
      <c r="J137" s="60"/>
      <c r="K137" s="60"/>
    </row>
    <row r="138" spans="1:248" s="61" customFormat="1" ht="16.5" customHeight="1">
      <c r="A138" s="64"/>
      <c r="B138" s="77" t="s">
        <v>394</v>
      </c>
      <c r="C138" s="113">
        <f>C139+C140</f>
        <v>0</v>
      </c>
      <c r="D138" s="113">
        <f t="shared" ref="D138:H138" si="51">D139+D140</f>
        <v>0</v>
      </c>
      <c r="E138" s="113">
        <f t="shared" si="51"/>
        <v>0</v>
      </c>
      <c r="F138" s="113">
        <f t="shared" si="51"/>
        <v>0</v>
      </c>
      <c r="G138" s="113">
        <f t="shared" si="51"/>
        <v>0</v>
      </c>
      <c r="H138" s="113">
        <f t="shared" si="51"/>
        <v>0</v>
      </c>
      <c r="I138" s="60"/>
      <c r="J138" s="60"/>
      <c r="K138" s="60"/>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44"/>
      <c r="ID138" s="44"/>
      <c r="IE138" s="44"/>
      <c r="IF138" s="44"/>
      <c r="IG138" s="44"/>
      <c r="IH138" s="44"/>
      <c r="II138" s="44"/>
      <c r="IJ138" s="44"/>
      <c r="IK138" s="44"/>
      <c r="IL138" s="44"/>
      <c r="IM138" s="44"/>
      <c r="IN138" s="44"/>
    </row>
    <row r="139" spans="1:248" s="61" customFormat="1" ht="16.5" customHeight="1">
      <c r="A139" s="64"/>
      <c r="B139" s="77" t="s">
        <v>368</v>
      </c>
      <c r="C139" s="113"/>
      <c r="D139" s="59"/>
      <c r="E139" s="59"/>
      <c r="F139" s="59"/>
      <c r="G139" s="88"/>
      <c r="H139" s="88"/>
      <c r="I139" s="60"/>
      <c r="J139" s="60"/>
      <c r="K139" s="60"/>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44"/>
      <c r="ID139" s="44"/>
      <c r="IE139" s="44"/>
      <c r="IF139" s="44"/>
      <c r="IG139" s="44"/>
      <c r="IH139" s="44"/>
      <c r="II139" s="44"/>
      <c r="IJ139" s="44"/>
      <c r="IK139" s="44"/>
      <c r="IL139" s="44"/>
      <c r="IM139" s="44"/>
      <c r="IN139" s="44"/>
    </row>
    <row r="140" spans="1:248" s="61" customFormat="1" ht="75">
      <c r="A140" s="64"/>
      <c r="B140" s="77" t="s">
        <v>370</v>
      </c>
      <c r="C140" s="113"/>
      <c r="D140" s="59"/>
      <c r="E140" s="59"/>
      <c r="F140" s="59"/>
      <c r="G140" s="88"/>
      <c r="H140" s="88"/>
      <c r="I140" s="60"/>
      <c r="J140" s="60"/>
      <c r="K140" s="60"/>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44"/>
      <c r="ID140" s="44"/>
      <c r="IE140" s="44"/>
      <c r="IF140" s="44"/>
      <c r="IG140" s="44"/>
      <c r="IH140" s="44"/>
      <c r="II140" s="44"/>
      <c r="IJ140" s="44"/>
      <c r="IK140" s="44"/>
      <c r="IL140" s="44"/>
      <c r="IM140" s="44"/>
      <c r="IN140" s="44"/>
    </row>
    <row r="141" spans="1:248" s="61" customFormat="1" ht="16.5" customHeight="1">
      <c r="A141" s="64"/>
      <c r="B141" s="66" t="s">
        <v>361</v>
      </c>
      <c r="C141" s="113"/>
      <c r="D141" s="59"/>
      <c r="E141" s="59"/>
      <c r="F141" s="59"/>
      <c r="G141" s="88">
        <v>-32848.43</v>
      </c>
      <c r="H141" s="88"/>
      <c r="I141" s="60"/>
      <c r="J141" s="60"/>
      <c r="K141" s="60"/>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44"/>
      <c r="ID141" s="44"/>
      <c r="IE141" s="44"/>
      <c r="IF141" s="44"/>
      <c r="IG141" s="44"/>
      <c r="IH141" s="44"/>
      <c r="II141" s="44"/>
      <c r="IJ141" s="44"/>
      <c r="IK141" s="44"/>
      <c r="IL141" s="44"/>
      <c r="IM141" s="44"/>
      <c r="IN141" s="44"/>
    </row>
    <row r="142" spans="1:248" s="61" customFormat="1" ht="30">
      <c r="A142" s="64" t="s">
        <v>395</v>
      </c>
      <c r="B142" s="62" t="s">
        <v>396</v>
      </c>
      <c r="C142" s="113">
        <f t="shared" ref="C142:H142" si="52">C143+C146+C149+C152+C155+C156+C157+C160+C161+C162</f>
        <v>0</v>
      </c>
      <c r="D142" s="113">
        <f t="shared" si="52"/>
        <v>3319480</v>
      </c>
      <c r="E142" s="113">
        <f t="shared" si="52"/>
        <v>3201350</v>
      </c>
      <c r="F142" s="113">
        <f t="shared" si="52"/>
        <v>3201350</v>
      </c>
      <c r="G142" s="113">
        <f t="shared" si="52"/>
        <v>3111905.25</v>
      </c>
      <c r="H142" s="113">
        <f t="shared" si="52"/>
        <v>0</v>
      </c>
      <c r="I142" s="60"/>
      <c r="J142" s="60"/>
      <c r="K142" s="60"/>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row>
    <row r="143" spans="1:248" s="61" customFormat="1">
      <c r="A143" s="64"/>
      <c r="B143" s="65" t="s">
        <v>384</v>
      </c>
      <c r="C143" s="113">
        <f t="shared" ref="C143:H143" si="53">C144+C145</f>
        <v>0</v>
      </c>
      <c r="D143" s="113">
        <f t="shared" si="53"/>
        <v>1529300</v>
      </c>
      <c r="E143" s="113">
        <f t="shared" si="53"/>
        <v>1528930</v>
      </c>
      <c r="F143" s="113">
        <f t="shared" si="53"/>
        <v>1528930</v>
      </c>
      <c r="G143" s="113">
        <f t="shared" si="53"/>
        <v>1483279.2</v>
      </c>
      <c r="H143" s="113">
        <f t="shared" si="53"/>
        <v>0</v>
      </c>
      <c r="I143" s="60"/>
      <c r="J143" s="60"/>
      <c r="K143" s="60"/>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44"/>
      <c r="ID143" s="44"/>
      <c r="IE143" s="44"/>
      <c r="IF143" s="44"/>
      <c r="IG143" s="44"/>
      <c r="IH143" s="44"/>
      <c r="II143" s="44"/>
      <c r="IJ143" s="44"/>
      <c r="IK143" s="44"/>
      <c r="IL143" s="44"/>
      <c r="IM143" s="44"/>
      <c r="IN143" s="44"/>
    </row>
    <row r="144" spans="1:248" s="61" customFormat="1">
      <c r="A144" s="64"/>
      <c r="B144" s="65" t="s">
        <v>368</v>
      </c>
      <c r="C144" s="113"/>
      <c r="D144" s="59">
        <v>1529300</v>
      </c>
      <c r="E144" s="59">
        <v>1528930</v>
      </c>
      <c r="F144" s="59">
        <v>1528930</v>
      </c>
      <c r="G144" s="88">
        <f>1305710+177569.2</f>
        <v>1483279.2</v>
      </c>
      <c r="H144" s="88"/>
      <c r="I144" s="60"/>
      <c r="J144" s="60"/>
      <c r="K144" s="60"/>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44"/>
      <c r="ID144" s="44"/>
      <c r="IE144" s="44"/>
      <c r="IF144" s="44"/>
      <c r="IG144" s="44"/>
      <c r="IH144" s="44"/>
      <c r="II144" s="44"/>
      <c r="IJ144" s="44"/>
      <c r="IK144" s="44"/>
      <c r="IL144" s="44"/>
      <c r="IM144" s="44"/>
      <c r="IN144" s="44"/>
    </row>
    <row r="145" spans="1:254" s="61" customFormat="1" ht="16.5" customHeight="1">
      <c r="A145" s="64"/>
      <c r="B145" s="65" t="s">
        <v>370</v>
      </c>
      <c r="C145" s="113"/>
      <c r="D145" s="59"/>
      <c r="E145" s="59"/>
      <c r="F145" s="59"/>
      <c r="G145" s="88"/>
      <c r="H145" s="88"/>
      <c r="I145" s="60"/>
      <c r="J145" s="60"/>
      <c r="K145" s="60"/>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44"/>
      <c r="ID145" s="44"/>
      <c r="IE145" s="44"/>
      <c r="IF145" s="44"/>
      <c r="IG145" s="44"/>
      <c r="IH145" s="44"/>
      <c r="II145" s="44"/>
      <c r="IJ145" s="44"/>
      <c r="IK145" s="44"/>
      <c r="IL145" s="44"/>
      <c r="IM145" s="44"/>
      <c r="IN145" s="44"/>
    </row>
    <row r="146" spans="1:254" s="61" customFormat="1" ht="30">
      <c r="A146" s="64"/>
      <c r="B146" s="79" t="s">
        <v>397</v>
      </c>
      <c r="C146" s="113">
        <f t="shared" ref="C146:H146" si="54">C147+C148</f>
        <v>0</v>
      </c>
      <c r="D146" s="113">
        <f t="shared" si="54"/>
        <v>462740</v>
      </c>
      <c r="E146" s="113">
        <f t="shared" si="54"/>
        <v>411690</v>
      </c>
      <c r="F146" s="113">
        <f t="shared" si="54"/>
        <v>411690</v>
      </c>
      <c r="G146" s="113">
        <f t="shared" si="54"/>
        <v>394920</v>
      </c>
      <c r="H146" s="113">
        <f t="shared" si="54"/>
        <v>0</v>
      </c>
      <c r="I146" s="60"/>
      <c r="J146" s="60"/>
      <c r="K146" s="60"/>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c r="IK146" s="44"/>
      <c r="IL146" s="44"/>
      <c r="IM146" s="44"/>
      <c r="IN146" s="44"/>
    </row>
    <row r="147" spans="1:254" s="61" customFormat="1" ht="16.5" customHeight="1">
      <c r="A147" s="64"/>
      <c r="B147" s="79" t="s">
        <v>368</v>
      </c>
      <c r="C147" s="113"/>
      <c r="D147" s="59">
        <v>462740</v>
      </c>
      <c r="E147" s="59">
        <v>411690</v>
      </c>
      <c r="F147" s="59">
        <v>411690</v>
      </c>
      <c r="G147" s="88">
        <f>324000+70920</f>
        <v>394920</v>
      </c>
      <c r="H147" s="88"/>
      <c r="I147" s="60"/>
      <c r="J147" s="60"/>
      <c r="K147" s="60"/>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c r="IK147" s="44"/>
      <c r="IL147" s="44"/>
      <c r="IM147" s="44"/>
      <c r="IN147" s="44"/>
    </row>
    <row r="148" spans="1:254" s="61" customFormat="1" ht="75">
      <c r="A148" s="64"/>
      <c r="B148" s="79" t="s">
        <v>370</v>
      </c>
      <c r="C148" s="113"/>
      <c r="D148" s="59"/>
      <c r="E148" s="59"/>
      <c r="F148" s="59"/>
      <c r="G148" s="88"/>
      <c r="H148" s="88"/>
      <c r="I148" s="60"/>
      <c r="J148" s="60"/>
      <c r="K148" s="60"/>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44"/>
      <c r="ID148" s="44"/>
      <c r="IE148" s="44"/>
      <c r="IF148" s="44"/>
      <c r="IG148" s="44"/>
      <c r="IH148" s="44"/>
      <c r="II148" s="44"/>
      <c r="IJ148" s="44"/>
      <c r="IK148" s="44"/>
      <c r="IL148" s="44"/>
      <c r="IM148" s="44"/>
      <c r="IN148" s="44"/>
    </row>
    <row r="149" spans="1:254" s="61" customFormat="1">
      <c r="A149" s="64"/>
      <c r="B149" s="80" t="s">
        <v>398</v>
      </c>
      <c r="C149" s="113">
        <f t="shared" ref="C149:H149" si="55">C150+C151</f>
        <v>0</v>
      </c>
      <c r="D149" s="113">
        <f t="shared" si="55"/>
        <v>1327440</v>
      </c>
      <c r="E149" s="113">
        <f t="shared" si="55"/>
        <v>1260730</v>
      </c>
      <c r="F149" s="113">
        <f t="shared" si="55"/>
        <v>1260730</v>
      </c>
      <c r="G149" s="113">
        <f t="shared" si="55"/>
        <v>1233706.05</v>
      </c>
      <c r="H149" s="113">
        <f t="shared" si="55"/>
        <v>0</v>
      </c>
      <c r="I149" s="60"/>
      <c r="J149" s="60"/>
      <c r="K149" s="60"/>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44"/>
      <c r="ID149" s="44"/>
      <c r="IE149" s="44"/>
      <c r="IF149" s="44"/>
      <c r="IG149" s="44"/>
      <c r="IH149" s="44"/>
      <c r="II149" s="44"/>
      <c r="IJ149" s="44"/>
      <c r="IK149" s="44"/>
      <c r="IL149" s="44"/>
      <c r="IM149" s="44"/>
      <c r="IN149" s="44"/>
    </row>
    <row r="150" spans="1:254" s="61" customFormat="1" ht="16.5" customHeight="1">
      <c r="A150" s="64"/>
      <c r="B150" s="80" t="s">
        <v>368</v>
      </c>
      <c r="C150" s="113"/>
      <c r="D150" s="59">
        <v>1327440</v>
      </c>
      <c r="E150" s="59">
        <v>1260730</v>
      </c>
      <c r="F150" s="59">
        <v>1260730</v>
      </c>
      <c r="G150" s="88">
        <f>962772.78+270933.27</f>
        <v>1233706.05</v>
      </c>
      <c r="H150" s="88"/>
      <c r="I150" s="60"/>
      <c r="J150" s="60"/>
      <c r="K150" s="60"/>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44"/>
      <c r="ID150" s="44"/>
      <c r="IE150" s="44"/>
      <c r="IF150" s="44"/>
      <c r="IG150" s="44"/>
      <c r="IH150" s="44"/>
      <c r="II150" s="44"/>
      <c r="IJ150" s="44"/>
      <c r="IK150" s="44"/>
      <c r="IL150" s="44"/>
      <c r="IM150" s="44"/>
      <c r="IN150" s="44"/>
    </row>
    <row r="151" spans="1:254" s="61" customFormat="1" ht="75">
      <c r="A151" s="57"/>
      <c r="B151" s="80" t="s">
        <v>370</v>
      </c>
      <c r="C151" s="113"/>
      <c r="D151" s="59"/>
      <c r="E151" s="59"/>
      <c r="F151" s="59"/>
      <c r="G151" s="88"/>
      <c r="H151" s="88"/>
      <c r="I151" s="60"/>
      <c r="J151" s="60"/>
      <c r="K151" s="60"/>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44"/>
      <c r="ID151" s="44"/>
      <c r="IE151" s="44"/>
      <c r="IF151" s="44"/>
      <c r="IG151" s="44"/>
      <c r="IH151" s="44"/>
      <c r="II151" s="44"/>
      <c r="IJ151" s="44"/>
      <c r="IK151" s="44"/>
      <c r="IL151" s="44"/>
      <c r="IM151" s="44"/>
      <c r="IN151" s="44"/>
    </row>
    <row r="152" spans="1:254" s="126" customFormat="1" ht="30">
      <c r="A152" s="121"/>
      <c r="B152" s="122" t="s">
        <v>399</v>
      </c>
      <c r="C152" s="123">
        <f>C153+C154</f>
        <v>0</v>
      </c>
      <c r="D152" s="123">
        <f>D153+D154</f>
        <v>0</v>
      </c>
      <c r="E152" s="123">
        <f t="shared" ref="E152:H152" si="56">E153+E154</f>
        <v>0</v>
      </c>
      <c r="F152" s="123">
        <f t="shared" si="56"/>
        <v>0</v>
      </c>
      <c r="G152" s="123">
        <f t="shared" si="56"/>
        <v>0</v>
      </c>
      <c r="H152" s="123">
        <f t="shared" si="56"/>
        <v>0</v>
      </c>
      <c r="I152" s="124"/>
      <c r="J152" s="124"/>
      <c r="K152" s="124"/>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5"/>
      <c r="BR152" s="125"/>
      <c r="BS152" s="125"/>
      <c r="BT152" s="125"/>
      <c r="BU152" s="125"/>
      <c r="BV152" s="125"/>
      <c r="BW152" s="125"/>
      <c r="BX152" s="125"/>
      <c r="BY152" s="125"/>
      <c r="BZ152" s="125"/>
      <c r="CA152" s="125"/>
      <c r="CB152" s="125"/>
      <c r="CC152" s="125"/>
      <c r="CD152" s="125"/>
      <c r="CE152" s="125"/>
      <c r="CF152" s="125"/>
      <c r="CG152" s="125"/>
      <c r="CH152" s="125"/>
      <c r="CI152" s="125"/>
      <c r="CJ152" s="125"/>
      <c r="CK152" s="125"/>
      <c r="CL152" s="125"/>
      <c r="CM152" s="125"/>
      <c r="CN152" s="125"/>
      <c r="CO152" s="125"/>
      <c r="CP152" s="125"/>
      <c r="CQ152" s="125"/>
      <c r="CR152" s="125"/>
      <c r="CS152" s="125"/>
      <c r="CT152" s="125"/>
      <c r="CU152" s="125"/>
      <c r="CV152" s="125"/>
      <c r="CW152" s="125"/>
      <c r="CX152" s="125"/>
      <c r="CY152" s="125"/>
      <c r="CZ152" s="125"/>
      <c r="DA152" s="125"/>
      <c r="DB152" s="125"/>
      <c r="DC152" s="125"/>
      <c r="DD152" s="125"/>
      <c r="DE152" s="125"/>
      <c r="DF152" s="125"/>
      <c r="DG152" s="125"/>
      <c r="DH152" s="125"/>
      <c r="DI152" s="125"/>
      <c r="DJ152" s="125"/>
      <c r="DK152" s="125"/>
      <c r="DL152" s="125"/>
      <c r="DM152" s="125"/>
      <c r="DN152" s="125"/>
      <c r="DO152" s="125"/>
      <c r="DP152" s="125"/>
      <c r="DQ152" s="125"/>
      <c r="DR152" s="125"/>
      <c r="DS152" s="125"/>
      <c r="DT152" s="125"/>
      <c r="DU152" s="125"/>
      <c r="DV152" s="125"/>
      <c r="DW152" s="125"/>
      <c r="DX152" s="125"/>
      <c r="DY152" s="125"/>
      <c r="DZ152" s="125"/>
      <c r="EA152" s="125"/>
      <c r="EB152" s="125"/>
      <c r="EC152" s="125"/>
      <c r="ED152" s="125"/>
      <c r="EE152" s="125"/>
      <c r="EF152" s="125"/>
      <c r="EG152" s="125"/>
      <c r="EH152" s="125"/>
      <c r="EI152" s="125"/>
      <c r="EJ152" s="125"/>
      <c r="EK152" s="125"/>
      <c r="EL152" s="125"/>
      <c r="EM152" s="125"/>
      <c r="EN152" s="125"/>
      <c r="EO152" s="125"/>
      <c r="EP152" s="125"/>
      <c r="EQ152" s="125"/>
      <c r="ER152" s="125"/>
      <c r="ES152" s="125"/>
      <c r="ET152" s="125"/>
      <c r="EU152" s="125"/>
      <c r="EV152" s="125"/>
      <c r="EW152" s="125"/>
      <c r="EX152" s="125"/>
      <c r="EY152" s="125"/>
      <c r="EZ152" s="125"/>
      <c r="FA152" s="125"/>
      <c r="FB152" s="125"/>
      <c r="FC152" s="125"/>
      <c r="FD152" s="125"/>
      <c r="FE152" s="125"/>
      <c r="FF152" s="125"/>
      <c r="FG152" s="125"/>
      <c r="FH152" s="125"/>
      <c r="FI152" s="125"/>
      <c r="FJ152" s="125"/>
      <c r="FK152" s="125"/>
      <c r="FL152" s="125"/>
      <c r="FM152" s="125"/>
      <c r="FN152" s="125"/>
      <c r="FO152" s="125"/>
      <c r="FP152" s="125"/>
      <c r="FQ152" s="125"/>
      <c r="FR152" s="125"/>
      <c r="FS152" s="125"/>
      <c r="FT152" s="125"/>
      <c r="FU152" s="125"/>
      <c r="FV152" s="125"/>
      <c r="FW152" s="125"/>
      <c r="FX152" s="125"/>
      <c r="FY152" s="125"/>
      <c r="FZ152" s="125"/>
      <c r="GA152" s="125"/>
      <c r="GB152" s="125"/>
      <c r="GC152" s="125"/>
      <c r="GD152" s="125"/>
      <c r="GE152" s="125"/>
      <c r="GF152" s="125"/>
      <c r="GG152" s="125"/>
      <c r="GH152" s="125"/>
      <c r="GI152" s="125"/>
      <c r="GJ152" s="125"/>
      <c r="GK152" s="125"/>
      <c r="GL152" s="125"/>
      <c r="GM152" s="125"/>
      <c r="GN152" s="125"/>
      <c r="GO152" s="125"/>
      <c r="GP152" s="125"/>
      <c r="GQ152" s="125"/>
      <c r="GR152" s="125"/>
      <c r="GS152" s="125"/>
      <c r="GT152" s="125"/>
      <c r="GU152" s="125"/>
      <c r="GV152" s="125"/>
      <c r="GW152" s="125"/>
      <c r="GX152" s="125"/>
      <c r="GY152" s="125"/>
      <c r="GZ152" s="125"/>
      <c r="HA152" s="125"/>
      <c r="HB152" s="125"/>
      <c r="HC152" s="125"/>
      <c r="HD152" s="125"/>
      <c r="HE152" s="125"/>
      <c r="HF152" s="125"/>
      <c r="HG152" s="125"/>
      <c r="HH152" s="125"/>
      <c r="HI152" s="125"/>
      <c r="HJ152" s="125"/>
      <c r="HK152" s="125"/>
      <c r="HL152" s="125"/>
      <c r="HM152" s="125"/>
      <c r="HN152" s="125"/>
      <c r="HO152" s="125"/>
      <c r="HP152" s="125"/>
      <c r="HQ152" s="125"/>
      <c r="HR152" s="125"/>
      <c r="HS152" s="125"/>
      <c r="HT152" s="125"/>
      <c r="HU152" s="125"/>
      <c r="HV152" s="125"/>
      <c r="HW152" s="125"/>
      <c r="HX152" s="125"/>
      <c r="HY152" s="125"/>
      <c r="HZ152" s="125"/>
      <c r="IA152" s="125"/>
      <c r="IB152" s="125"/>
      <c r="IC152" s="125"/>
      <c r="ID152" s="125"/>
      <c r="IE152" s="125"/>
      <c r="IF152" s="125"/>
      <c r="IG152" s="125"/>
      <c r="IH152" s="125"/>
      <c r="II152" s="125"/>
      <c r="IJ152" s="125"/>
      <c r="IK152" s="125"/>
      <c r="IL152" s="125"/>
      <c r="IM152" s="125"/>
      <c r="IN152" s="125"/>
    </row>
    <row r="153" spans="1:254" s="126" customFormat="1">
      <c r="A153" s="121"/>
      <c r="B153" s="122" t="s">
        <v>368</v>
      </c>
      <c r="C153" s="123"/>
      <c r="D153" s="127"/>
      <c r="E153" s="127"/>
      <c r="F153" s="127"/>
      <c r="G153" s="134"/>
      <c r="H153" s="134"/>
      <c r="I153" s="124"/>
      <c r="J153" s="124"/>
      <c r="K153" s="124"/>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5"/>
      <c r="BK153" s="125"/>
      <c r="BL153" s="125"/>
      <c r="BM153" s="125"/>
      <c r="BN153" s="125"/>
      <c r="BO153" s="125"/>
      <c r="BP153" s="125"/>
      <c r="BQ153" s="125"/>
      <c r="BR153" s="125"/>
      <c r="BS153" s="125"/>
      <c r="BT153" s="125"/>
      <c r="BU153" s="125"/>
      <c r="BV153" s="125"/>
      <c r="BW153" s="125"/>
      <c r="BX153" s="125"/>
      <c r="BY153" s="125"/>
      <c r="BZ153" s="125"/>
      <c r="CA153" s="125"/>
      <c r="CB153" s="125"/>
      <c r="CC153" s="125"/>
      <c r="CD153" s="125"/>
      <c r="CE153" s="125"/>
      <c r="CF153" s="125"/>
      <c r="CG153" s="125"/>
      <c r="CH153" s="125"/>
      <c r="CI153" s="125"/>
      <c r="CJ153" s="125"/>
      <c r="CK153" s="125"/>
      <c r="CL153" s="125"/>
      <c r="CM153" s="125"/>
      <c r="CN153" s="125"/>
      <c r="CO153" s="125"/>
      <c r="CP153" s="125"/>
      <c r="CQ153" s="125"/>
      <c r="CR153" s="125"/>
      <c r="CS153" s="125"/>
      <c r="CT153" s="125"/>
      <c r="CU153" s="125"/>
      <c r="CV153" s="125"/>
      <c r="CW153" s="125"/>
      <c r="CX153" s="125"/>
      <c r="CY153" s="125"/>
      <c r="CZ153" s="125"/>
      <c r="DA153" s="125"/>
      <c r="DB153" s="125"/>
      <c r="DC153" s="125"/>
      <c r="DD153" s="125"/>
      <c r="DE153" s="125"/>
      <c r="DF153" s="125"/>
      <c r="DG153" s="125"/>
      <c r="DH153" s="125"/>
      <c r="DI153" s="125"/>
      <c r="DJ153" s="125"/>
      <c r="DK153" s="125"/>
      <c r="DL153" s="125"/>
      <c r="DM153" s="125"/>
      <c r="DN153" s="125"/>
      <c r="DO153" s="125"/>
      <c r="DP153" s="125"/>
      <c r="DQ153" s="125"/>
      <c r="DR153" s="125"/>
      <c r="DS153" s="125"/>
      <c r="DT153" s="125"/>
      <c r="DU153" s="125"/>
      <c r="DV153" s="125"/>
      <c r="DW153" s="125"/>
      <c r="DX153" s="125"/>
      <c r="DY153" s="125"/>
      <c r="DZ153" s="125"/>
      <c r="EA153" s="125"/>
      <c r="EB153" s="125"/>
      <c r="EC153" s="125"/>
      <c r="ED153" s="125"/>
      <c r="EE153" s="125"/>
      <c r="EF153" s="125"/>
      <c r="EG153" s="125"/>
      <c r="EH153" s="125"/>
      <c r="EI153" s="125"/>
      <c r="EJ153" s="125"/>
      <c r="EK153" s="125"/>
      <c r="EL153" s="125"/>
      <c r="EM153" s="125"/>
      <c r="EN153" s="125"/>
      <c r="EO153" s="125"/>
      <c r="EP153" s="125"/>
      <c r="EQ153" s="125"/>
      <c r="ER153" s="125"/>
      <c r="ES153" s="125"/>
      <c r="ET153" s="125"/>
      <c r="EU153" s="125"/>
      <c r="EV153" s="125"/>
      <c r="EW153" s="125"/>
      <c r="EX153" s="125"/>
      <c r="EY153" s="125"/>
      <c r="EZ153" s="125"/>
      <c r="FA153" s="125"/>
      <c r="FB153" s="125"/>
      <c r="FC153" s="125"/>
      <c r="FD153" s="125"/>
      <c r="FE153" s="125"/>
      <c r="FF153" s="125"/>
      <c r="FG153" s="125"/>
      <c r="FH153" s="125"/>
      <c r="FI153" s="125"/>
      <c r="FJ153" s="125"/>
      <c r="FK153" s="125"/>
      <c r="FL153" s="125"/>
      <c r="FM153" s="125"/>
      <c r="FN153" s="125"/>
      <c r="FO153" s="125"/>
      <c r="FP153" s="125"/>
      <c r="FQ153" s="125"/>
      <c r="FR153" s="125"/>
      <c r="FS153" s="125"/>
      <c r="FT153" s="125"/>
      <c r="FU153" s="125"/>
      <c r="FV153" s="125"/>
      <c r="FW153" s="125"/>
      <c r="FX153" s="125"/>
      <c r="FY153" s="125"/>
      <c r="FZ153" s="125"/>
      <c r="GA153" s="125"/>
      <c r="GB153" s="125"/>
      <c r="GC153" s="125"/>
      <c r="GD153" s="125"/>
      <c r="GE153" s="125"/>
      <c r="GF153" s="125"/>
      <c r="GG153" s="125"/>
      <c r="GH153" s="125"/>
      <c r="GI153" s="125"/>
      <c r="GJ153" s="125"/>
      <c r="GK153" s="125"/>
      <c r="GL153" s="125"/>
      <c r="GM153" s="125"/>
      <c r="GN153" s="125"/>
      <c r="GO153" s="125"/>
      <c r="GP153" s="125"/>
      <c r="GQ153" s="125"/>
      <c r="GR153" s="125"/>
      <c r="GS153" s="125"/>
      <c r="GT153" s="125"/>
      <c r="GU153" s="125"/>
      <c r="GV153" s="125"/>
      <c r="GW153" s="125"/>
      <c r="GX153" s="125"/>
      <c r="GY153" s="125"/>
      <c r="GZ153" s="125"/>
      <c r="HA153" s="125"/>
      <c r="HB153" s="125"/>
      <c r="HC153" s="125"/>
      <c r="HD153" s="125"/>
      <c r="HE153" s="125"/>
      <c r="HF153" s="125"/>
      <c r="HG153" s="125"/>
      <c r="HH153" s="125"/>
      <c r="HI153" s="125"/>
      <c r="HJ153" s="125"/>
      <c r="HK153" s="125"/>
      <c r="HL153" s="125"/>
      <c r="HM153" s="125"/>
      <c r="HN153" s="125"/>
      <c r="HO153" s="125"/>
      <c r="HP153" s="125"/>
      <c r="HQ153" s="125"/>
      <c r="HR153" s="125"/>
      <c r="HS153" s="125"/>
      <c r="HT153" s="125"/>
      <c r="HU153" s="125"/>
      <c r="HV153" s="125"/>
      <c r="HW153" s="125"/>
      <c r="HX153" s="125"/>
      <c r="HY153" s="125"/>
      <c r="HZ153" s="125"/>
      <c r="IA153" s="125"/>
      <c r="IB153" s="125"/>
      <c r="IC153" s="125"/>
      <c r="ID153" s="125"/>
      <c r="IE153" s="125"/>
      <c r="IF153" s="125"/>
      <c r="IG153" s="125"/>
      <c r="IH153" s="125"/>
      <c r="II153" s="125"/>
      <c r="IJ153" s="125"/>
      <c r="IK153" s="125"/>
      <c r="IL153" s="125"/>
      <c r="IM153" s="125"/>
      <c r="IN153" s="125"/>
    </row>
    <row r="154" spans="1:254" s="126" customFormat="1" ht="75">
      <c r="A154" s="121"/>
      <c r="B154" s="122" t="s">
        <v>370</v>
      </c>
      <c r="C154" s="123"/>
      <c r="D154" s="127"/>
      <c r="E154" s="127"/>
      <c r="F154" s="127"/>
      <c r="G154" s="134"/>
      <c r="H154" s="134"/>
      <c r="I154" s="124"/>
      <c r="J154" s="124"/>
      <c r="K154" s="124"/>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5"/>
      <c r="BR154" s="125"/>
      <c r="BS154" s="125"/>
      <c r="BT154" s="125"/>
      <c r="BU154" s="125"/>
      <c r="BV154" s="125"/>
      <c r="BW154" s="125"/>
      <c r="BX154" s="125"/>
      <c r="BY154" s="125"/>
      <c r="BZ154" s="125"/>
      <c r="CA154" s="125"/>
      <c r="CB154" s="125"/>
      <c r="CC154" s="125"/>
      <c r="CD154" s="125"/>
      <c r="CE154" s="125"/>
      <c r="CF154" s="125"/>
      <c r="CG154" s="125"/>
      <c r="CH154" s="125"/>
      <c r="CI154" s="125"/>
      <c r="CJ154" s="125"/>
      <c r="CK154" s="125"/>
      <c r="CL154" s="125"/>
      <c r="CM154" s="125"/>
      <c r="CN154" s="125"/>
      <c r="CO154" s="125"/>
      <c r="CP154" s="125"/>
      <c r="CQ154" s="125"/>
      <c r="CR154" s="125"/>
      <c r="CS154" s="125"/>
      <c r="CT154" s="125"/>
      <c r="CU154" s="125"/>
      <c r="CV154" s="125"/>
      <c r="CW154" s="125"/>
      <c r="CX154" s="125"/>
      <c r="CY154" s="125"/>
      <c r="CZ154" s="125"/>
      <c r="DA154" s="125"/>
      <c r="DB154" s="125"/>
      <c r="DC154" s="125"/>
      <c r="DD154" s="125"/>
      <c r="DE154" s="125"/>
      <c r="DF154" s="125"/>
      <c r="DG154" s="125"/>
      <c r="DH154" s="125"/>
      <c r="DI154" s="125"/>
      <c r="DJ154" s="125"/>
      <c r="DK154" s="125"/>
      <c r="DL154" s="125"/>
      <c r="DM154" s="125"/>
      <c r="DN154" s="125"/>
      <c r="DO154" s="125"/>
      <c r="DP154" s="125"/>
      <c r="DQ154" s="125"/>
      <c r="DR154" s="125"/>
      <c r="DS154" s="125"/>
      <c r="DT154" s="125"/>
      <c r="DU154" s="125"/>
      <c r="DV154" s="125"/>
      <c r="DW154" s="125"/>
      <c r="DX154" s="125"/>
      <c r="DY154" s="125"/>
      <c r="DZ154" s="125"/>
      <c r="EA154" s="125"/>
      <c r="EB154" s="125"/>
      <c r="EC154" s="125"/>
      <c r="ED154" s="125"/>
      <c r="EE154" s="125"/>
      <c r="EF154" s="125"/>
      <c r="EG154" s="125"/>
      <c r="EH154" s="125"/>
      <c r="EI154" s="125"/>
      <c r="EJ154" s="125"/>
      <c r="EK154" s="125"/>
      <c r="EL154" s="125"/>
      <c r="EM154" s="125"/>
      <c r="EN154" s="125"/>
      <c r="EO154" s="125"/>
      <c r="EP154" s="125"/>
      <c r="EQ154" s="125"/>
      <c r="ER154" s="125"/>
      <c r="ES154" s="125"/>
      <c r="ET154" s="125"/>
      <c r="EU154" s="125"/>
      <c r="EV154" s="125"/>
      <c r="EW154" s="125"/>
      <c r="EX154" s="125"/>
      <c r="EY154" s="125"/>
      <c r="EZ154" s="125"/>
      <c r="FA154" s="125"/>
      <c r="FB154" s="125"/>
      <c r="FC154" s="125"/>
      <c r="FD154" s="125"/>
      <c r="FE154" s="125"/>
      <c r="FF154" s="125"/>
      <c r="FG154" s="125"/>
      <c r="FH154" s="125"/>
      <c r="FI154" s="125"/>
      <c r="FJ154" s="125"/>
      <c r="FK154" s="125"/>
      <c r="FL154" s="125"/>
      <c r="FM154" s="125"/>
      <c r="FN154" s="125"/>
      <c r="FO154" s="125"/>
      <c r="FP154" s="125"/>
      <c r="FQ154" s="125"/>
      <c r="FR154" s="125"/>
      <c r="FS154" s="125"/>
      <c r="FT154" s="125"/>
      <c r="FU154" s="125"/>
      <c r="FV154" s="125"/>
      <c r="FW154" s="125"/>
      <c r="FX154" s="125"/>
      <c r="FY154" s="125"/>
      <c r="FZ154" s="125"/>
      <c r="GA154" s="125"/>
      <c r="GB154" s="125"/>
      <c r="GC154" s="125"/>
      <c r="GD154" s="125"/>
      <c r="GE154" s="125"/>
      <c r="GF154" s="125"/>
      <c r="GG154" s="125"/>
      <c r="GH154" s="125"/>
      <c r="GI154" s="125"/>
      <c r="GJ154" s="125"/>
      <c r="GK154" s="125"/>
      <c r="GL154" s="125"/>
      <c r="GM154" s="125"/>
      <c r="GN154" s="125"/>
      <c r="GO154" s="125"/>
      <c r="GP154" s="125"/>
      <c r="GQ154" s="125"/>
      <c r="GR154" s="125"/>
      <c r="GS154" s="125"/>
      <c r="GT154" s="125"/>
      <c r="GU154" s="125"/>
      <c r="GV154" s="125"/>
      <c r="GW154" s="125"/>
      <c r="GX154" s="125"/>
      <c r="GY154" s="125"/>
      <c r="GZ154" s="125"/>
      <c r="HA154" s="125"/>
      <c r="HB154" s="125"/>
      <c r="HC154" s="125"/>
      <c r="HD154" s="125"/>
      <c r="HE154" s="125"/>
      <c r="HF154" s="125"/>
      <c r="HG154" s="125"/>
      <c r="HH154" s="125"/>
      <c r="HI154" s="125"/>
      <c r="HJ154" s="125"/>
      <c r="HK154" s="125"/>
      <c r="HL154" s="125"/>
      <c r="HM154" s="125"/>
      <c r="HN154" s="125"/>
      <c r="HO154" s="125"/>
      <c r="HP154" s="125"/>
      <c r="HQ154" s="125"/>
      <c r="HR154" s="125"/>
      <c r="HS154" s="125"/>
      <c r="HT154" s="125"/>
      <c r="HU154" s="125"/>
      <c r="HV154" s="125"/>
      <c r="HW154" s="125"/>
      <c r="HX154" s="125"/>
      <c r="HY154" s="125"/>
      <c r="HZ154" s="125"/>
      <c r="IA154" s="125"/>
      <c r="IB154" s="125"/>
      <c r="IC154" s="125"/>
      <c r="ID154" s="125"/>
      <c r="IE154" s="125"/>
      <c r="IF154" s="125"/>
      <c r="IG154" s="125"/>
      <c r="IH154" s="125"/>
      <c r="II154" s="125"/>
      <c r="IJ154" s="125"/>
      <c r="IK154" s="125"/>
      <c r="IL154" s="125"/>
      <c r="IM154" s="125"/>
      <c r="IN154" s="125"/>
    </row>
    <row r="155" spans="1:254" s="61" customFormat="1" ht="16.5" customHeight="1">
      <c r="A155" s="64"/>
      <c r="B155" s="80" t="s">
        <v>400</v>
      </c>
      <c r="C155" s="113"/>
      <c r="D155" s="59"/>
      <c r="E155" s="59"/>
      <c r="F155" s="59"/>
      <c r="G155" s="88"/>
      <c r="H155" s="88"/>
      <c r="I155" s="60"/>
      <c r="J155" s="60"/>
      <c r="K155" s="60"/>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4"/>
      <c r="HN155" s="44"/>
      <c r="HO155" s="44"/>
      <c r="HP155" s="44"/>
      <c r="HQ155" s="44"/>
      <c r="HR155" s="44"/>
      <c r="HS155" s="44"/>
      <c r="HT155" s="44"/>
      <c r="HU155" s="44"/>
      <c r="HV155" s="44"/>
      <c r="HW155" s="44"/>
      <c r="HX155" s="44"/>
      <c r="HY155" s="44"/>
      <c r="HZ155" s="44"/>
      <c r="IA155" s="44"/>
      <c r="IB155" s="44"/>
      <c r="IC155" s="44"/>
      <c r="ID155" s="44"/>
      <c r="IE155" s="44"/>
      <c r="IF155" s="44"/>
      <c r="IG155" s="44"/>
      <c r="IH155" s="44"/>
      <c r="II155" s="44"/>
      <c r="IJ155" s="44"/>
      <c r="IK155" s="44"/>
      <c r="IL155" s="44"/>
      <c r="IM155" s="44"/>
      <c r="IN155" s="44"/>
    </row>
    <row r="156" spans="1:254" ht="16.5" customHeight="1">
      <c r="A156" s="64"/>
      <c r="B156" s="65" t="s">
        <v>381</v>
      </c>
      <c r="C156" s="113"/>
      <c r="D156" s="59"/>
      <c r="E156" s="59"/>
      <c r="F156" s="59"/>
      <c r="G156" s="88"/>
      <c r="H156" s="88"/>
      <c r="I156" s="60"/>
      <c r="J156" s="60"/>
      <c r="K156" s="60"/>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c r="ID156" s="61"/>
      <c r="IE156" s="61"/>
      <c r="IF156" s="61"/>
      <c r="IG156" s="61"/>
      <c r="IH156" s="61"/>
      <c r="II156" s="61"/>
      <c r="IJ156" s="61"/>
      <c r="IK156" s="61"/>
      <c r="IL156" s="61"/>
      <c r="IM156" s="61"/>
      <c r="IO156" s="61"/>
      <c r="IP156" s="61"/>
      <c r="IQ156" s="61"/>
      <c r="IR156" s="61"/>
      <c r="IS156" s="61"/>
      <c r="IT156" s="61"/>
    </row>
    <row r="157" spans="1:254">
      <c r="A157" s="57"/>
      <c r="B157" s="80" t="s">
        <v>401</v>
      </c>
      <c r="C157" s="113">
        <f t="shared" ref="C157:H157" si="57">C158+C159</f>
        <v>0</v>
      </c>
      <c r="D157" s="113">
        <f t="shared" si="57"/>
        <v>0</v>
      </c>
      <c r="E157" s="113">
        <f t="shared" si="57"/>
        <v>0</v>
      </c>
      <c r="F157" s="113">
        <f t="shared" si="57"/>
        <v>0</v>
      </c>
      <c r="G157" s="113">
        <f t="shared" si="57"/>
        <v>0</v>
      </c>
      <c r="H157" s="113">
        <f t="shared" si="57"/>
        <v>0</v>
      </c>
      <c r="I157" s="60"/>
      <c r="J157" s="60"/>
      <c r="K157" s="60"/>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c r="IO157" s="61"/>
      <c r="IP157" s="61"/>
      <c r="IQ157" s="61"/>
      <c r="IR157" s="61"/>
      <c r="IS157" s="61"/>
      <c r="IT157" s="61"/>
    </row>
    <row r="158" spans="1:254">
      <c r="A158" s="64"/>
      <c r="B158" s="80" t="s">
        <v>368</v>
      </c>
      <c r="C158" s="113"/>
      <c r="D158" s="59"/>
      <c r="E158" s="59"/>
      <c r="F158" s="59"/>
      <c r="G158" s="135"/>
      <c r="H158" s="135"/>
      <c r="I158" s="60"/>
      <c r="J158" s="60"/>
      <c r="K158" s="60"/>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c r="IJ158" s="61"/>
      <c r="IK158" s="61"/>
      <c r="IL158" s="61"/>
      <c r="IM158" s="61"/>
    </row>
    <row r="159" spans="1:254" ht="75">
      <c r="A159" s="64"/>
      <c r="B159" s="80" t="s">
        <v>370</v>
      </c>
      <c r="C159" s="113"/>
      <c r="D159" s="59"/>
      <c r="E159" s="59"/>
      <c r="F159" s="59"/>
      <c r="G159" s="135"/>
      <c r="H159" s="135"/>
      <c r="I159" s="60"/>
      <c r="J159" s="60"/>
      <c r="K159" s="60"/>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row>
    <row r="160" spans="1:254" ht="45">
      <c r="A160" s="64"/>
      <c r="B160" s="81" t="s">
        <v>506</v>
      </c>
      <c r="C160" s="113"/>
      <c r="D160" s="59"/>
      <c r="E160" s="59"/>
      <c r="F160" s="59"/>
      <c r="G160" s="135"/>
      <c r="H160" s="135"/>
      <c r="I160" s="60"/>
      <c r="J160" s="60"/>
      <c r="K160" s="60"/>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c r="FD160" s="61"/>
      <c r="FE160" s="61"/>
      <c r="FF160" s="61"/>
      <c r="FG160" s="61"/>
      <c r="FH160" s="61"/>
      <c r="FI160" s="61"/>
      <c r="FJ160" s="61"/>
      <c r="FK160" s="61"/>
      <c r="FL160" s="61"/>
      <c r="FM160" s="61"/>
      <c r="FN160" s="61"/>
      <c r="FO160" s="61"/>
      <c r="FP160" s="61"/>
      <c r="FQ160" s="61"/>
      <c r="FR160" s="61"/>
      <c r="FS160" s="61"/>
      <c r="FT160" s="61"/>
      <c r="FU160" s="61"/>
      <c r="FV160" s="61"/>
      <c r="FW160" s="61"/>
      <c r="FX160" s="61"/>
      <c r="FY160" s="61"/>
      <c r="FZ160" s="61"/>
      <c r="GA160" s="61"/>
      <c r="GB160" s="61"/>
      <c r="GC160" s="61"/>
      <c r="GD160" s="61"/>
      <c r="GE160" s="61"/>
      <c r="GF160" s="61"/>
      <c r="GG160" s="61"/>
      <c r="GH160" s="61"/>
      <c r="GI160" s="61"/>
      <c r="GJ160" s="61"/>
      <c r="GK160" s="61"/>
      <c r="GL160" s="61"/>
      <c r="GM160" s="61"/>
      <c r="GN160" s="61"/>
      <c r="GO160" s="61"/>
      <c r="GP160" s="61"/>
      <c r="GQ160" s="61"/>
      <c r="GR160" s="61"/>
      <c r="GS160" s="61"/>
      <c r="GT160" s="61"/>
      <c r="GU160" s="61"/>
      <c r="GV160" s="61"/>
      <c r="GW160" s="61"/>
      <c r="GX160" s="61"/>
      <c r="GY160" s="61"/>
      <c r="GZ160" s="61"/>
      <c r="HA160" s="61"/>
      <c r="HB160" s="61"/>
      <c r="HC160" s="61"/>
      <c r="HD160" s="61"/>
      <c r="HE160" s="61"/>
      <c r="HF160" s="61"/>
      <c r="HG160" s="61"/>
      <c r="HH160" s="61"/>
      <c r="HI160" s="61"/>
      <c r="HJ160" s="61"/>
      <c r="HK160" s="61"/>
      <c r="HL160" s="61"/>
      <c r="HM160" s="61"/>
      <c r="HN160" s="61"/>
      <c r="HO160" s="61"/>
      <c r="HP160" s="61"/>
      <c r="HQ160" s="61"/>
      <c r="HR160" s="61"/>
      <c r="HS160" s="61"/>
      <c r="HT160" s="61"/>
      <c r="HU160" s="61"/>
      <c r="HV160" s="61"/>
      <c r="HW160" s="61"/>
      <c r="HX160" s="61"/>
      <c r="HY160" s="61"/>
      <c r="HZ160" s="61"/>
      <c r="IA160" s="61"/>
      <c r="IB160" s="61"/>
      <c r="IC160" s="61"/>
      <c r="ID160" s="61"/>
      <c r="IE160" s="61"/>
      <c r="IF160" s="61"/>
      <c r="IG160" s="61"/>
      <c r="IH160" s="61"/>
      <c r="II160" s="61"/>
      <c r="IJ160" s="61"/>
      <c r="IK160" s="61"/>
      <c r="IL160" s="61"/>
      <c r="IM160" s="61"/>
    </row>
    <row r="161" spans="1:254" ht="30">
      <c r="A161" s="64"/>
      <c r="B161" s="81" t="s">
        <v>402</v>
      </c>
      <c r="C161" s="113"/>
      <c r="D161" s="59"/>
      <c r="E161" s="59"/>
      <c r="F161" s="59"/>
      <c r="G161" s="135"/>
      <c r="H161" s="135"/>
      <c r="I161" s="60"/>
      <c r="J161" s="60"/>
      <c r="K161" s="60"/>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1"/>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1"/>
      <c r="GR161" s="61"/>
      <c r="GS161" s="61"/>
      <c r="GT161" s="61"/>
      <c r="GU161" s="61"/>
      <c r="GV161" s="61"/>
      <c r="GW161" s="61"/>
      <c r="GX161" s="61"/>
      <c r="GY161" s="61"/>
      <c r="GZ161" s="61"/>
      <c r="HA161" s="61"/>
      <c r="HB161" s="61"/>
      <c r="HC161" s="61"/>
      <c r="HD161" s="61"/>
      <c r="HE161" s="61"/>
      <c r="HF161" s="61"/>
      <c r="HG161" s="61"/>
      <c r="HH161" s="61"/>
      <c r="HI161" s="61"/>
      <c r="HJ161" s="61"/>
      <c r="HK161" s="61"/>
      <c r="HL161" s="61"/>
      <c r="HM161" s="61"/>
      <c r="HN161" s="61"/>
      <c r="HO161" s="61"/>
      <c r="HP161" s="61"/>
      <c r="HQ161" s="61"/>
      <c r="HR161" s="61"/>
      <c r="HS161" s="61"/>
      <c r="HT161" s="61"/>
      <c r="HU161" s="61"/>
      <c r="HV161" s="61"/>
      <c r="HW161" s="61"/>
      <c r="HX161" s="61"/>
      <c r="HY161" s="61"/>
      <c r="HZ161" s="61"/>
      <c r="IA161" s="61"/>
      <c r="IB161" s="61"/>
      <c r="IC161" s="61"/>
      <c r="ID161" s="61"/>
      <c r="IE161" s="61"/>
      <c r="IF161" s="61"/>
      <c r="IG161" s="61"/>
      <c r="IH161" s="61"/>
      <c r="II161" s="61"/>
      <c r="IJ161" s="61"/>
      <c r="IK161" s="61"/>
      <c r="IL161" s="61"/>
      <c r="IM161" s="61"/>
      <c r="IN161" s="61"/>
    </row>
    <row r="162" spans="1:254" s="61" customFormat="1" ht="30">
      <c r="A162" s="64"/>
      <c r="B162" s="82" t="s">
        <v>403</v>
      </c>
      <c r="C162" s="113">
        <f t="shared" ref="C162:H162" si="58">C163+C166+C167+C170</f>
        <v>0</v>
      </c>
      <c r="D162" s="113">
        <f t="shared" si="58"/>
        <v>0</v>
      </c>
      <c r="E162" s="113">
        <f t="shared" si="58"/>
        <v>0</v>
      </c>
      <c r="F162" s="113">
        <f t="shared" si="58"/>
        <v>0</v>
      </c>
      <c r="G162" s="113">
        <f t="shared" si="58"/>
        <v>0</v>
      </c>
      <c r="H162" s="113">
        <f t="shared" si="58"/>
        <v>0</v>
      </c>
      <c r="I162" s="60"/>
      <c r="J162" s="60"/>
      <c r="K162" s="60"/>
      <c r="IO162" s="44"/>
      <c r="IP162" s="44"/>
      <c r="IQ162" s="44"/>
      <c r="IR162" s="44"/>
      <c r="IS162" s="44"/>
      <c r="IT162" s="44"/>
    </row>
    <row r="163" spans="1:254" s="61" customFormat="1">
      <c r="A163" s="64"/>
      <c r="B163" s="83" t="s">
        <v>404</v>
      </c>
      <c r="C163" s="113">
        <f t="shared" ref="C163:H163" si="59">C164+C165</f>
        <v>0</v>
      </c>
      <c r="D163" s="113">
        <f t="shared" si="59"/>
        <v>0</v>
      </c>
      <c r="E163" s="113">
        <f t="shared" si="59"/>
        <v>0</v>
      </c>
      <c r="F163" s="113">
        <f t="shared" si="59"/>
        <v>0</v>
      </c>
      <c r="G163" s="113">
        <f t="shared" si="59"/>
        <v>0</v>
      </c>
      <c r="H163" s="113">
        <f t="shared" si="59"/>
        <v>0</v>
      </c>
      <c r="I163" s="60"/>
      <c r="J163" s="60"/>
      <c r="K163" s="60"/>
      <c r="IO163" s="44"/>
      <c r="IP163" s="44"/>
      <c r="IQ163" s="44"/>
      <c r="IR163" s="44"/>
      <c r="IS163" s="44"/>
      <c r="IT163" s="44"/>
    </row>
    <row r="164" spans="1:254">
      <c r="A164" s="64"/>
      <c r="B164" s="83" t="s">
        <v>368</v>
      </c>
      <c r="C164" s="113"/>
      <c r="D164" s="59"/>
      <c r="E164" s="59"/>
      <c r="F164" s="59"/>
      <c r="G164" s="135"/>
      <c r="H164" s="135"/>
      <c r="I164" s="60"/>
      <c r="J164" s="60"/>
      <c r="K164" s="60"/>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c r="ID164" s="61"/>
      <c r="IE164" s="61"/>
      <c r="IF164" s="61"/>
      <c r="IG164" s="61"/>
      <c r="IH164" s="61"/>
      <c r="II164" s="61"/>
      <c r="IJ164" s="61"/>
      <c r="IK164" s="61"/>
      <c r="IL164" s="61"/>
      <c r="IM164" s="61"/>
      <c r="IN164" s="61"/>
      <c r="IO164" s="61"/>
      <c r="IP164" s="61"/>
      <c r="IQ164" s="61"/>
      <c r="IR164" s="61"/>
      <c r="IS164" s="61"/>
      <c r="IT164" s="61"/>
    </row>
    <row r="165" spans="1:254" ht="75">
      <c r="A165" s="57"/>
      <c r="B165" s="83" t="s">
        <v>370</v>
      </c>
      <c r="C165" s="113"/>
      <c r="D165" s="59"/>
      <c r="E165" s="59"/>
      <c r="F165" s="59"/>
      <c r="G165" s="135"/>
      <c r="H165" s="135"/>
      <c r="I165" s="60"/>
      <c r="J165" s="60"/>
      <c r="K165" s="60"/>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c r="IK165" s="61"/>
      <c r="IL165" s="61"/>
      <c r="IM165" s="61"/>
      <c r="IN165" s="61"/>
      <c r="IO165" s="61"/>
      <c r="IP165" s="61"/>
      <c r="IQ165" s="61"/>
      <c r="IR165" s="61"/>
      <c r="IS165" s="61"/>
      <c r="IT165" s="61"/>
    </row>
    <row r="166" spans="1:254" ht="30">
      <c r="A166" s="57"/>
      <c r="B166" s="83" t="s">
        <v>405</v>
      </c>
      <c r="C166" s="113"/>
      <c r="D166" s="59"/>
      <c r="E166" s="59"/>
      <c r="F166" s="59"/>
      <c r="G166" s="135"/>
      <c r="H166" s="135"/>
      <c r="I166" s="60"/>
      <c r="J166" s="60"/>
      <c r="K166" s="60"/>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row>
    <row r="167" spans="1:254" ht="30">
      <c r="A167" s="57"/>
      <c r="B167" s="83" t="s">
        <v>406</v>
      </c>
      <c r="C167" s="113">
        <f t="shared" ref="C167:H167" si="60">C168+C169</f>
        <v>0</v>
      </c>
      <c r="D167" s="113">
        <f t="shared" si="60"/>
        <v>0</v>
      </c>
      <c r="E167" s="113">
        <f t="shared" si="60"/>
        <v>0</v>
      </c>
      <c r="F167" s="113">
        <f t="shared" si="60"/>
        <v>0</v>
      </c>
      <c r="G167" s="113">
        <f t="shared" si="60"/>
        <v>0</v>
      </c>
      <c r="H167" s="113">
        <f t="shared" si="60"/>
        <v>0</v>
      </c>
      <c r="I167" s="60"/>
      <c r="J167" s="60"/>
      <c r="K167" s="60"/>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c r="IK167" s="61"/>
      <c r="IL167" s="61"/>
      <c r="IM167" s="61"/>
      <c r="IN167" s="61"/>
    </row>
    <row r="168" spans="1:254">
      <c r="A168" s="57"/>
      <c r="B168" s="83" t="s">
        <v>368</v>
      </c>
      <c r="C168" s="113"/>
      <c r="D168" s="59"/>
      <c r="E168" s="59"/>
      <c r="F168" s="59"/>
      <c r="G168" s="135"/>
      <c r="H168" s="135"/>
      <c r="I168" s="60"/>
      <c r="J168" s="60"/>
      <c r="K168" s="60"/>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c r="ID168" s="61"/>
      <c r="IE168" s="61"/>
      <c r="IF168" s="61"/>
      <c r="IG168" s="61"/>
      <c r="IH168" s="61"/>
      <c r="II168" s="61"/>
      <c r="IJ168" s="61"/>
      <c r="IK168" s="61"/>
      <c r="IL168" s="61"/>
      <c r="IM168" s="61"/>
      <c r="IN168" s="61"/>
    </row>
    <row r="169" spans="1:254" ht="75">
      <c r="A169" s="64"/>
      <c r="B169" s="83" t="s">
        <v>370</v>
      </c>
      <c r="C169" s="113"/>
      <c r="D169" s="59"/>
      <c r="E169" s="59"/>
      <c r="F169" s="59"/>
      <c r="G169" s="135"/>
      <c r="H169" s="135"/>
      <c r="I169" s="60"/>
      <c r="J169" s="60"/>
      <c r="K169" s="60"/>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row>
    <row r="170" spans="1:254" ht="30" customHeight="1">
      <c r="A170" s="64"/>
      <c r="B170" s="83" t="s">
        <v>407</v>
      </c>
      <c r="C170" s="113"/>
      <c r="D170" s="59"/>
      <c r="E170" s="59"/>
      <c r="F170" s="59"/>
      <c r="G170" s="135"/>
      <c r="H170" s="135"/>
      <c r="I170" s="60"/>
      <c r="J170" s="60"/>
      <c r="K170" s="60"/>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c r="IK170" s="61"/>
      <c r="IL170" s="61"/>
      <c r="IM170" s="61"/>
      <c r="IN170" s="61"/>
    </row>
    <row r="171" spans="1:254" ht="16.5" customHeight="1">
      <c r="A171" s="64"/>
      <c r="B171" s="66" t="s">
        <v>361</v>
      </c>
      <c r="C171" s="113"/>
      <c r="D171" s="59"/>
      <c r="E171" s="59"/>
      <c r="F171" s="59"/>
      <c r="G171" s="135"/>
      <c r="H171" s="135"/>
      <c r="I171" s="60"/>
      <c r="J171" s="60"/>
      <c r="K171" s="60"/>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row>
    <row r="172" spans="1:254">
      <c r="A172" s="57" t="s">
        <v>408</v>
      </c>
      <c r="B172" s="66" t="s">
        <v>409</v>
      </c>
      <c r="C172" s="111">
        <f t="shared" ref="C172:H172" si="61">C173+C174</f>
        <v>0</v>
      </c>
      <c r="D172" s="111">
        <f t="shared" si="61"/>
        <v>18786830</v>
      </c>
      <c r="E172" s="111">
        <f t="shared" si="61"/>
        <v>18165570</v>
      </c>
      <c r="F172" s="111">
        <f t="shared" si="61"/>
        <v>18165570</v>
      </c>
      <c r="G172" s="111">
        <f t="shared" si="61"/>
        <v>18165570</v>
      </c>
      <c r="H172" s="111">
        <f t="shared" si="61"/>
        <v>3809790</v>
      </c>
      <c r="I172" s="60"/>
      <c r="J172" s="60"/>
      <c r="K172" s="60"/>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c r="IK172" s="61"/>
      <c r="IL172" s="61"/>
      <c r="IM172" s="61"/>
      <c r="IN172" s="61"/>
    </row>
    <row r="173" spans="1:254" ht="16.5" customHeight="1">
      <c r="A173" s="57"/>
      <c r="B173" s="66" t="s">
        <v>368</v>
      </c>
      <c r="C173" s="111"/>
      <c r="D173" s="59">
        <v>18786830</v>
      </c>
      <c r="E173" s="59">
        <v>18165570</v>
      </c>
      <c r="F173" s="59">
        <v>18165570</v>
      </c>
      <c r="G173" s="88">
        <f>13622490+733290+3809790</f>
        <v>18165570</v>
      </c>
      <c r="H173" s="88">
        <v>3809790</v>
      </c>
      <c r="I173" s="60"/>
      <c r="J173" s="60"/>
      <c r="K173" s="60"/>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c r="FC173" s="61"/>
      <c r="FD173" s="61"/>
      <c r="FE173" s="61"/>
      <c r="FF173" s="61"/>
      <c r="FG173" s="61"/>
      <c r="FH173" s="61"/>
      <c r="FI173" s="61"/>
      <c r="FJ173" s="61"/>
      <c r="FK173" s="61"/>
      <c r="FL173" s="61"/>
      <c r="FM173" s="61"/>
      <c r="FN173" s="61"/>
      <c r="FO173" s="61"/>
      <c r="FP173" s="61"/>
      <c r="FQ173" s="61"/>
      <c r="FR173" s="61"/>
      <c r="FS173" s="61"/>
      <c r="FT173" s="61"/>
      <c r="FU173" s="61"/>
      <c r="FV173" s="61"/>
      <c r="FW173" s="61"/>
      <c r="FX173" s="61"/>
      <c r="FY173" s="61"/>
      <c r="FZ173" s="61"/>
      <c r="GA173" s="61"/>
      <c r="GB173" s="61"/>
      <c r="GC173" s="61"/>
      <c r="GD173" s="61"/>
      <c r="GE173" s="61"/>
      <c r="GF173" s="61"/>
      <c r="GG173" s="61"/>
      <c r="GH173" s="61"/>
      <c r="GI173" s="61"/>
      <c r="GJ173" s="61"/>
      <c r="GK173" s="61"/>
      <c r="GL173" s="61"/>
      <c r="GM173" s="61"/>
      <c r="GN173" s="61"/>
      <c r="GO173" s="61"/>
      <c r="GP173" s="61"/>
      <c r="GQ173" s="61"/>
      <c r="GR173" s="61"/>
      <c r="GS173" s="61"/>
      <c r="GT173" s="61"/>
      <c r="GU173" s="61"/>
      <c r="GV173" s="61"/>
      <c r="GW173" s="61"/>
      <c r="GX173" s="61"/>
      <c r="GY173" s="61"/>
      <c r="GZ173" s="61"/>
      <c r="HA173" s="61"/>
      <c r="HB173" s="61"/>
      <c r="HC173" s="61"/>
      <c r="HD173" s="61"/>
      <c r="HE173" s="61"/>
      <c r="HF173" s="61"/>
      <c r="HG173" s="61"/>
      <c r="HH173" s="61"/>
      <c r="HI173" s="61"/>
      <c r="HJ173" s="61"/>
      <c r="HK173" s="61"/>
      <c r="HL173" s="61"/>
      <c r="HM173" s="61"/>
      <c r="HN173" s="61"/>
      <c r="HO173" s="61"/>
      <c r="HP173" s="61"/>
      <c r="HQ173" s="61"/>
      <c r="HR173" s="61"/>
      <c r="HS173" s="61"/>
      <c r="HT173" s="61"/>
      <c r="HU173" s="61"/>
      <c r="HV173" s="61"/>
      <c r="HW173" s="61"/>
      <c r="HX173" s="61"/>
      <c r="HY173" s="61"/>
      <c r="HZ173" s="61"/>
      <c r="IA173" s="61"/>
      <c r="IB173" s="61"/>
      <c r="IC173" s="61"/>
      <c r="ID173" s="61"/>
      <c r="IE173" s="61"/>
      <c r="IF173" s="61"/>
      <c r="IG173" s="61"/>
      <c r="IH173" s="61"/>
      <c r="II173" s="61"/>
      <c r="IJ173" s="61"/>
      <c r="IK173" s="61"/>
      <c r="IL173" s="61"/>
      <c r="IM173" s="61"/>
      <c r="IN173" s="61"/>
    </row>
    <row r="174" spans="1:254" ht="75">
      <c r="A174" s="57"/>
      <c r="B174" s="66" t="s">
        <v>370</v>
      </c>
      <c r="C174" s="111"/>
      <c r="D174" s="59"/>
      <c r="E174" s="59"/>
      <c r="F174" s="59"/>
      <c r="G174" s="88"/>
      <c r="H174" s="88"/>
      <c r="I174" s="60"/>
      <c r="J174" s="60"/>
      <c r="K174" s="60"/>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c r="FD174" s="61"/>
      <c r="FE174" s="61"/>
      <c r="FF174" s="61"/>
      <c r="FG174" s="61"/>
      <c r="FH174" s="61"/>
      <c r="FI174" s="61"/>
      <c r="FJ174" s="61"/>
      <c r="FK174" s="61"/>
      <c r="FL174" s="61"/>
      <c r="FM174" s="61"/>
      <c r="FN174" s="61"/>
      <c r="FO174" s="61"/>
      <c r="FP174" s="61"/>
      <c r="FQ174" s="61"/>
      <c r="FR174" s="61"/>
      <c r="FS174" s="61"/>
      <c r="FT174" s="61"/>
      <c r="FU174" s="61"/>
      <c r="FV174" s="61"/>
      <c r="FW174" s="61"/>
      <c r="FX174" s="61"/>
      <c r="FY174" s="61"/>
      <c r="FZ174" s="61"/>
      <c r="GA174" s="61"/>
      <c r="GB174" s="61"/>
      <c r="GC174" s="61"/>
      <c r="GD174" s="61"/>
      <c r="GE174" s="61"/>
      <c r="GF174" s="61"/>
      <c r="GG174" s="61"/>
      <c r="GH174" s="61"/>
      <c r="GI174" s="61"/>
      <c r="GJ174" s="61"/>
      <c r="GK174" s="61"/>
      <c r="GL174" s="61"/>
      <c r="GM174" s="61"/>
      <c r="GN174" s="61"/>
      <c r="GO174" s="61"/>
      <c r="GP174" s="61"/>
      <c r="GQ174" s="61"/>
      <c r="GR174" s="61"/>
      <c r="GS174" s="61"/>
      <c r="GT174" s="61"/>
      <c r="GU174" s="61"/>
      <c r="GV174" s="61"/>
      <c r="GW174" s="61"/>
      <c r="GX174" s="61"/>
      <c r="GY174" s="61"/>
      <c r="GZ174" s="61"/>
      <c r="HA174" s="61"/>
      <c r="HB174" s="61"/>
      <c r="HC174" s="61"/>
      <c r="HD174" s="61"/>
      <c r="HE174" s="61"/>
      <c r="HF174" s="61"/>
      <c r="HG174" s="61"/>
      <c r="HH174" s="61"/>
      <c r="HI174" s="61"/>
      <c r="HJ174" s="61"/>
      <c r="HK174" s="61"/>
      <c r="HL174" s="61"/>
      <c r="HM174" s="61"/>
      <c r="HN174" s="61"/>
      <c r="HO174" s="61"/>
      <c r="HP174" s="61"/>
      <c r="HQ174" s="61"/>
      <c r="HR174" s="61"/>
      <c r="HS174" s="61"/>
      <c r="HT174" s="61"/>
      <c r="HU174" s="61"/>
      <c r="HV174" s="61"/>
      <c r="HW174" s="61"/>
      <c r="HX174" s="61"/>
      <c r="HY174" s="61"/>
      <c r="HZ174" s="61"/>
      <c r="IA174" s="61"/>
      <c r="IB174" s="61"/>
      <c r="IC174" s="61"/>
      <c r="ID174" s="61"/>
      <c r="IE174" s="61"/>
      <c r="IF174" s="61"/>
      <c r="IG174" s="61"/>
      <c r="IH174" s="61"/>
      <c r="II174" s="61"/>
      <c r="IJ174" s="61"/>
      <c r="IK174" s="61"/>
      <c r="IL174" s="61"/>
      <c r="IM174" s="61"/>
      <c r="IN174" s="61"/>
    </row>
    <row r="175" spans="1:254" ht="16.5" customHeight="1">
      <c r="A175" s="64"/>
      <c r="B175" s="66" t="s">
        <v>361</v>
      </c>
      <c r="C175" s="111"/>
      <c r="D175" s="59"/>
      <c r="E175" s="59"/>
      <c r="F175" s="59"/>
      <c r="G175" s="88"/>
      <c r="H175" s="88"/>
      <c r="I175" s="60"/>
      <c r="J175" s="60"/>
      <c r="K175" s="60"/>
      <c r="L175" s="61"/>
      <c r="IN175" s="61"/>
    </row>
    <row r="176" spans="1:254">
      <c r="A176" s="64" t="s">
        <v>410</v>
      </c>
      <c r="B176" s="66" t="s">
        <v>411</v>
      </c>
      <c r="C176" s="113">
        <f t="shared" ref="C176:H176" si="62">C177+C178</f>
        <v>0</v>
      </c>
      <c r="D176" s="113">
        <f t="shared" si="62"/>
        <v>5808000</v>
      </c>
      <c r="E176" s="113">
        <f t="shared" si="62"/>
        <v>6008000</v>
      </c>
      <c r="F176" s="113">
        <f t="shared" si="62"/>
        <v>4306300</v>
      </c>
      <c r="G176" s="113">
        <f t="shared" si="62"/>
        <v>3285992.56</v>
      </c>
      <c r="H176" s="113">
        <f t="shared" si="62"/>
        <v>449994.48</v>
      </c>
      <c r="I176" s="60"/>
      <c r="J176" s="60"/>
      <c r="K176" s="60"/>
      <c r="IN176" s="61"/>
    </row>
    <row r="177" spans="1:248">
      <c r="A177" s="64"/>
      <c r="B177" s="66" t="s">
        <v>368</v>
      </c>
      <c r="C177" s="113"/>
      <c r="D177" s="59">
        <v>5808000</v>
      </c>
      <c r="E177" s="59">
        <v>6008000</v>
      </c>
      <c r="F177" s="59">
        <v>4306300</v>
      </c>
      <c r="G177" s="131">
        <f>2535995.65+300002.43+449994.48</f>
        <v>3285992.56</v>
      </c>
      <c r="H177" s="131">
        <v>449994.48</v>
      </c>
      <c r="I177" s="60"/>
      <c r="J177" s="60"/>
      <c r="K177" s="60"/>
      <c r="IN177" s="61"/>
    </row>
    <row r="178" spans="1:248" ht="75">
      <c r="A178" s="64"/>
      <c r="B178" s="66" t="s">
        <v>370</v>
      </c>
      <c r="C178" s="113"/>
      <c r="D178" s="59"/>
      <c r="E178" s="59"/>
      <c r="F178" s="59"/>
      <c r="G178" s="131"/>
      <c r="H178" s="131"/>
      <c r="I178" s="60"/>
      <c r="J178" s="60"/>
      <c r="K178" s="60"/>
      <c r="IN178" s="61"/>
    </row>
    <row r="179" spans="1:248">
      <c r="A179" s="64"/>
      <c r="B179" s="66" t="s">
        <v>361</v>
      </c>
      <c r="C179" s="113"/>
      <c r="D179" s="59"/>
      <c r="E179" s="59"/>
      <c r="F179" s="59"/>
      <c r="G179" s="131"/>
      <c r="H179" s="131"/>
      <c r="I179" s="60"/>
      <c r="J179" s="60"/>
      <c r="K179" s="60"/>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c r="IN179" s="61"/>
    </row>
    <row r="180" spans="1:248">
      <c r="A180" s="64" t="s">
        <v>412</v>
      </c>
      <c r="B180" s="62" t="s">
        <v>413</v>
      </c>
      <c r="C180" s="112">
        <f>+C181+C192+C197+C202+C214</f>
        <v>0</v>
      </c>
      <c r="D180" s="112">
        <f t="shared" ref="D180:H180" si="63">+D181+D192+D197+D202+D214</f>
        <v>140748170</v>
      </c>
      <c r="E180" s="112">
        <f t="shared" si="63"/>
        <v>135535050</v>
      </c>
      <c r="F180" s="112">
        <f t="shared" si="63"/>
        <v>96328170</v>
      </c>
      <c r="G180" s="112">
        <f t="shared" si="63"/>
        <v>83369597.070000008</v>
      </c>
      <c r="H180" s="112">
        <f t="shared" si="63"/>
        <v>13638171.039999999</v>
      </c>
      <c r="I180" s="60"/>
      <c r="J180" s="60"/>
      <c r="K180" s="60"/>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row>
    <row r="181" spans="1:248">
      <c r="A181" s="64" t="s">
        <v>414</v>
      </c>
      <c r="B181" s="62" t="s">
        <v>415</v>
      </c>
      <c r="C181" s="111">
        <f>+C182+C186+C187+C188+C189+C190</f>
        <v>0</v>
      </c>
      <c r="D181" s="111">
        <f t="shared" ref="D181:H181" si="64">+D182+D186+D187+D188+D189+D190</f>
        <v>80705590</v>
      </c>
      <c r="E181" s="111">
        <f t="shared" si="64"/>
        <v>76718810</v>
      </c>
      <c r="F181" s="111">
        <f t="shared" si="64"/>
        <v>50044130</v>
      </c>
      <c r="G181" s="111">
        <f t="shared" si="64"/>
        <v>43673119.580000006</v>
      </c>
      <c r="H181" s="111">
        <f t="shared" si="64"/>
        <v>8276130.919999999</v>
      </c>
      <c r="I181" s="60"/>
      <c r="J181" s="60"/>
      <c r="K181" s="60"/>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c r="IK181" s="61"/>
      <c r="IL181" s="61"/>
      <c r="IM181" s="61"/>
    </row>
    <row r="182" spans="1:248" ht="16.5" customHeight="1">
      <c r="A182" s="64"/>
      <c r="B182" s="84" t="s">
        <v>512</v>
      </c>
      <c r="C182" s="113">
        <f>C183+C184+C185</f>
        <v>0</v>
      </c>
      <c r="D182" s="113">
        <f t="shared" ref="D182" si="65">D183+D184+D185</f>
        <v>76913000</v>
      </c>
      <c r="E182" s="113">
        <f t="shared" ref="E182:H182" si="66">E183+E184+E185</f>
        <v>72797190</v>
      </c>
      <c r="F182" s="113">
        <v>47021630</v>
      </c>
      <c r="G182" s="113">
        <f t="shared" si="66"/>
        <v>41267483.420000002</v>
      </c>
      <c r="H182" s="113">
        <f t="shared" si="66"/>
        <v>7787275.7599999998</v>
      </c>
      <c r="I182" s="60"/>
      <c r="J182" s="60"/>
      <c r="K182" s="60"/>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c r="GE182" s="61"/>
      <c r="GF182" s="61"/>
      <c r="GG182" s="61"/>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61"/>
      <c r="HN182" s="61"/>
      <c r="HO182" s="61"/>
      <c r="HP182" s="61"/>
      <c r="HQ182" s="61"/>
      <c r="HR182" s="61"/>
      <c r="HS182" s="61"/>
      <c r="HT182" s="61"/>
      <c r="HU182" s="61"/>
      <c r="HV182" s="61"/>
      <c r="HW182" s="61"/>
      <c r="HX182" s="61"/>
      <c r="HY182" s="61"/>
      <c r="HZ182" s="61"/>
      <c r="IA182" s="61"/>
      <c r="IB182" s="61"/>
      <c r="IC182" s="61"/>
      <c r="ID182" s="61"/>
      <c r="IE182" s="61"/>
      <c r="IF182" s="61"/>
      <c r="IG182" s="61"/>
      <c r="IH182" s="61"/>
      <c r="II182" s="61"/>
      <c r="IJ182" s="61"/>
      <c r="IK182" s="61"/>
      <c r="IL182" s="61"/>
      <c r="IM182" s="61"/>
      <c r="IN182" s="61"/>
    </row>
    <row r="183" spans="1:248" ht="16.5" customHeight="1">
      <c r="A183" s="64"/>
      <c r="B183" s="110" t="s">
        <v>417</v>
      </c>
      <c r="C183" s="113"/>
      <c r="D183" s="59">
        <f>38450000-6800</f>
        <v>38443200</v>
      </c>
      <c r="E183" s="59">
        <f>36350000-6800</f>
        <v>36343200</v>
      </c>
      <c r="F183" s="59">
        <v>23500000</v>
      </c>
      <c r="G183" s="88">
        <f>12143664.74+2442195.7+2429365.4+2969231.76</f>
        <v>19984457.600000001</v>
      </c>
      <c r="H183" s="88">
        <v>2969231.76</v>
      </c>
      <c r="I183" s="60"/>
      <c r="J183" s="60"/>
      <c r="K183" s="60"/>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c r="ID183" s="61"/>
      <c r="IE183" s="61"/>
      <c r="IF183" s="61"/>
      <c r="IG183" s="61"/>
      <c r="IH183" s="61"/>
      <c r="II183" s="61"/>
      <c r="IJ183" s="61"/>
      <c r="IK183" s="61"/>
      <c r="IL183" s="61"/>
      <c r="IM183" s="61"/>
      <c r="IN183" s="61"/>
    </row>
    <row r="184" spans="1:248">
      <c r="A184" s="64"/>
      <c r="B184" s="110" t="s">
        <v>418</v>
      </c>
      <c r="C184" s="113"/>
      <c r="D184" s="59">
        <f>38463000-6800-13500-32900</f>
        <v>38409800</v>
      </c>
      <c r="E184" s="59">
        <f>36447190-6800-13500-32900</f>
        <v>36393990</v>
      </c>
      <c r="F184" s="59">
        <f>23521630-32900-27100</f>
        <v>23461630</v>
      </c>
      <c r="G184" s="88">
        <f>12018518.86+2583236.8+1836142.8+4785544</f>
        <v>21223442.460000001</v>
      </c>
      <c r="H184" s="88">
        <v>4785544</v>
      </c>
      <c r="I184" s="60"/>
      <c r="J184" s="60"/>
      <c r="K184" s="60"/>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c r="ID184" s="61"/>
      <c r="IE184" s="61"/>
      <c r="IF184" s="61"/>
      <c r="IG184" s="61"/>
      <c r="IH184" s="61"/>
      <c r="II184" s="61"/>
      <c r="IJ184" s="61"/>
      <c r="IK184" s="61"/>
      <c r="IL184" s="61"/>
      <c r="IM184" s="61"/>
      <c r="IN184" s="61"/>
    </row>
    <row r="185" spans="1:248">
      <c r="A185" s="64"/>
      <c r="B185" s="110" t="s">
        <v>511</v>
      </c>
      <c r="C185" s="113"/>
      <c r="D185" s="59">
        <f>27100+32900</f>
        <v>60000</v>
      </c>
      <c r="E185" s="59">
        <f t="shared" ref="E185:F185" si="67">27100+32900</f>
        <v>60000</v>
      </c>
      <c r="F185" s="59">
        <f t="shared" si="67"/>
        <v>60000</v>
      </c>
      <c r="G185" s="88">
        <f>13541.68+13541.68+32500</f>
        <v>59583.360000000001</v>
      </c>
      <c r="H185" s="88">
        <v>32500</v>
      </c>
      <c r="I185" s="60"/>
      <c r="J185" s="60"/>
      <c r="K185" s="60"/>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c r="ID185" s="61"/>
      <c r="IE185" s="61"/>
      <c r="IF185" s="61"/>
      <c r="IG185" s="61"/>
      <c r="IH185" s="61"/>
      <c r="II185" s="61"/>
      <c r="IJ185" s="61"/>
      <c r="IK185" s="61"/>
      <c r="IL185" s="61"/>
      <c r="IM185" s="61"/>
      <c r="IN185" s="61"/>
    </row>
    <row r="186" spans="1:248">
      <c r="A186" s="57"/>
      <c r="B186" s="84" t="s">
        <v>419</v>
      </c>
      <c r="C186" s="113"/>
      <c r="D186" s="59">
        <v>2513000</v>
      </c>
      <c r="E186" s="59">
        <v>2716000</v>
      </c>
      <c r="F186" s="59">
        <v>2297000</v>
      </c>
      <c r="G186" s="65">
        <f>1352500+454111.56</f>
        <v>1806611.56</v>
      </c>
      <c r="H186" s="65">
        <v>454111.56</v>
      </c>
      <c r="I186" s="60"/>
      <c r="J186" s="60"/>
      <c r="K186" s="60"/>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c r="ID186" s="61"/>
      <c r="IE186" s="61"/>
      <c r="IF186" s="61"/>
      <c r="IG186" s="61"/>
      <c r="IH186" s="61"/>
      <c r="II186" s="61"/>
      <c r="IJ186" s="61"/>
      <c r="IK186" s="61"/>
      <c r="IL186" s="61"/>
      <c r="IM186" s="61"/>
      <c r="IN186" s="61"/>
    </row>
    <row r="187" spans="1:248" ht="45">
      <c r="A187" s="57"/>
      <c r="B187" s="84" t="s">
        <v>420</v>
      </c>
      <c r="C187" s="113"/>
      <c r="D187" s="59">
        <v>392320</v>
      </c>
      <c r="E187" s="59">
        <v>372350</v>
      </c>
      <c r="F187" s="59">
        <v>175000</v>
      </c>
      <c r="G187" s="65">
        <f>144900+14910</f>
        <v>159810</v>
      </c>
      <c r="H187" s="65">
        <v>14910</v>
      </c>
      <c r="I187" s="60"/>
      <c r="J187" s="60"/>
      <c r="K187" s="60"/>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c r="IK187" s="61"/>
      <c r="IL187" s="61"/>
      <c r="IM187" s="61"/>
      <c r="IN187" s="61"/>
    </row>
    <row r="188" spans="1:248" ht="45">
      <c r="A188" s="57"/>
      <c r="B188" s="84" t="s">
        <v>421</v>
      </c>
      <c r="C188" s="113"/>
      <c r="D188" s="59">
        <v>822000</v>
      </c>
      <c r="E188" s="59">
        <v>768000</v>
      </c>
      <c r="F188" s="59">
        <v>515230</v>
      </c>
      <c r="G188" s="65">
        <f>416000+18820</f>
        <v>434820</v>
      </c>
      <c r="H188" s="65">
        <v>18820</v>
      </c>
      <c r="I188" s="60"/>
      <c r="J188" s="60"/>
      <c r="K188" s="60"/>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c r="ID188" s="61"/>
      <c r="IE188" s="61"/>
      <c r="IF188" s="61"/>
      <c r="IG188" s="61"/>
      <c r="IH188" s="61"/>
      <c r="II188" s="61"/>
      <c r="IJ188" s="61"/>
      <c r="IK188" s="61"/>
      <c r="IL188" s="61"/>
      <c r="IM188" s="61"/>
      <c r="IN188" s="61"/>
    </row>
    <row r="189" spans="1:248" ht="75">
      <c r="A189" s="57"/>
      <c r="B189" s="84" t="s">
        <v>370</v>
      </c>
      <c r="C189" s="113"/>
      <c r="D189" s="59">
        <v>170</v>
      </c>
      <c r="E189" s="59">
        <v>170</v>
      </c>
      <c r="F189" s="59">
        <v>170</v>
      </c>
      <c r="G189" s="65">
        <v>158.4</v>
      </c>
      <c r="H189" s="65">
        <v>0</v>
      </c>
      <c r="I189" s="60"/>
      <c r="J189" s="60"/>
      <c r="K189" s="60"/>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c r="IK189" s="61"/>
      <c r="IL189" s="61"/>
      <c r="IM189" s="61"/>
      <c r="IN189" s="61"/>
    </row>
    <row r="190" spans="1:248" ht="45">
      <c r="A190" s="57"/>
      <c r="B190" s="84" t="s">
        <v>507</v>
      </c>
      <c r="C190" s="113"/>
      <c r="D190" s="59">
        <v>65100</v>
      </c>
      <c r="E190" s="59">
        <v>65100</v>
      </c>
      <c r="F190" s="59">
        <v>35100</v>
      </c>
      <c r="G190" s="65">
        <f>2316.4+906.2+1013.6</f>
        <v>4236.2000000000007</v>
      </c>
      <c r="H190" s="65">
        <v>1013.6</v>
      </c>
      <c r="I190" s="60"/>
      <c r="J190" s="60"/>
      <c r="K190" s="60"/>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row>
    <row r="191" spans="1:248">
      <c r="A191" s="57"/>
      <c r="B191" s="66" t="s">
        <v>361</v>
      </c>
      <c r="C191" s="113"/>
      <c r="D191" s="59"/>
      <c r="E191" s="59"/>
      <c r="F191" s="59"/>
      <c r="G191" s="65">
        <f>-470.8-1080</f>
        <v>-1550.8</v>
      </c>
      <c r="H191" s="65"/>
      <c r="I191" s="60"/>
      <c r="J191" s="60"/>
      <c r="K191" s="60"/>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row>
    <row r="192" spans="1:248">
      <c r="A192" s="57" t="s">
        <v>422</v>
      </c>
      <c r="B192" s="85" t="s">
        <v>423</v>
      </c>
      <c r="C192" s="113">
        <f>C193+C194+C195</f>
        <v>0</v>
      </c>
      <c r="D192" s="113">
        <f t="shared" ref="D192:H192" si="68">D193+D194+D195</f>
        <v>32085140</v>
      </c>
      <c r="E192" s="113">
        <f t="shared" si="68"/>
        <v>31741840</v>
      </c>
      <c r="F192" s="113">
        <f t="shared" si="68"/>
        <v>24699840</v>
      </c>
      <c r="G192" s="113">
        <f t="shared" si="68"/>
        <v>21178144.630000003</v>
      </c>
      <c r="H192" s="113">
        <f t="shared" si="68"/>
        <v>2811319.12</v>
      </c>
      <c r="I192" s="60"/>
      <c r="J192" s="60"/>
      <c r="K192" s="60"/>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row>
    <row r="193" spans="1:248">
      <c r="A193" s="57"/>
      <c r="B193" s="86" t="s">
        <v>368</v>
      </c>
      <c r="C193" s="113"/>
      <c r="D193" s="59">
        <v>32084000</v>
      </c>
      <c r="E193" s="59">
        <v>31740700</v>
      </c>
      <c r="F193" s="59">
        <v>24698700</v>
      </c>
      <c r="G193" s="113">
        <f>15984562.71+2381973.2+2811319.12</f>
        <v>21177855.030000001</v>
      </c>
      <c r="H193" s="113">
        <v>2811319.12</v>
      </c>
      <c r="I193" s="60"/>
      <c r="J193" s="60"/>
      <c r="K193" s="60"/>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row>
    <row r="194" spans="1:248" ht="75">
      <c r="A194" s="57"/>
      <c r="B194" s="86" t="s">
        <v>370</v>
      </c>
      <c r="C194" s="113"/>
      <c r="D194" s="59">
        <v>1140</v>
      </c>
      <c r="E194" s="59">
        <v>1140</v>
      </c>
      <c r="F194" s="59">
        <v>1140</v>
      </c>
      <c r="G194" s="113">
        <f>146.4+143.2</f>
        <v>289.60000000000002</v>
      </c>
      <c r="H194" s="113">
        <v>0</v>
      </c>
      <c r="I194" s="60"/>
      <c r="J194" s="60"/>
      <c r="K194" s="60"/>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c r="FC194" s="61"/>
      <c r="FD194" s="61"/>
      <c r="FE194" s="61"/>
      <c r="FF194" s="61"/>
      <c r="FG194" s="61"/>
      <c r="FH194" s="61"/>
      <c r="FI194" s="61"/>
      <c r="FJ194" s="61"/>
      <c r="FK194" s="61"/>
      <c r="FL194" s="61"/>
      <c r="FM194" s="61"/>
      <c r="FN194" s="61"/>
      <c r="FO194" s="61"/>
      <c r="FP194" s="61"/>
      <c r="FQ194" s="61"/>
      <c r="FR194" s="61"/>
      <c r="FS194" s="61"/>
      <c r="FT194" s="61"/>
      <c r="FU194" s="61"/>
      <c r="FV194" s="61"/>
      <c r="FW194" s="61"/>
      <c r="FX194" s="61"/>
      <c r="FY194" s="61"/>
      <c r="FZ194" s="61"/>
      <c r="GA194" s="61"/>
      <c r="GB194" s="61"/>
      <c r="GC194" s="61"/>
      <c r="GD194" s="61"/>
      <c r="GE194" s="61"/>
      <c r="GF194" s="61"/>
      <c r="GG194" s="61"/>
      <c r="GH194" s="61"/>
      <c r="GI194" s="61"/>
      <c r="GJ194" s="61"/>
      <c r="GK194" s="61"/>
      <c r="GL194" s="61"/>
      <c r="GM194" s="61"/>
      <c r="GN194" s="61"/>
      <c r="GO194" s="61"/>
      <c r="GP194" s="61"/>
      <c r="GQ194" s="61"/>
      <c r="GR194" s="61"/>
      <c r="GS194" s="61"/>
      <c r="GT194" s="61"/>
      <c r="GU194" s="61"/>
      <c r="GV194" s="61"/>
      <c r="GW194" s="61"/>
      <c r="GX194" s="61"/>
      <c r="GY194" s="61"/>
      <c r="GZ194" s="61"/>
      <c r="HA194" s="61"/>
      <c r="HB194" s="61"/>
      <c r="HC194" s="61"/>
      <c r="HD194" s="61"/>
      <c r="HE194" s="61"/>
      <c r="HF194" s="61"/>
      <c r="HG194" s="61"/>
      <c r="HH194" s="61"/>
      <c r="HI194" s="61"/>
      <c r="HJ194" s="61"/>
      <c r="HK194" s="61"/>
      <c r="HL194" s="61"/>
      <c r="HM194" s="61"/>
      <c r="HN194" s="61"/>
      <c r="HO194" s="61"/>
      <c r="HP194" s="61"/>
      <c r="HQ194" s="61"/>
      <c r="HR194" s="61"/>
      <c r="HS194" s="61"/>
      <c r="HT194" s="61"/>
      <c r="HU194" s="61"/>
      <c r="HV194" s="61"/>
      <c r="HW194" s="61"/>
      <c r="HX194" s="61"/>
      <c r="HY194" s="61"/>
      <c r="HZ194" s="61"/>
      <c r="IA194" s="61"/>
      <c r="IB194" s="61"/>
      <c r="IC194" s="61"/>
      <c r="ID194" s="61"/>
      <c r="IE194" s="61"/>
      <c r="IF194" s="61"/>
      <c r="IG194" s="61"/>
      <c r="IH194" s="61"/>
      <c r="II194" s="61"/>
      <c r="IJ194" s="61"/>
      <c r="IK194" s="61"/>
      <c r="IL194" s="61"/>
      <c r="IM194" s="61"/>
      <c r="IN194" s="61"/>
    </row>
    <row r="195" spans="1:248" ht="30">
      <c r="A195" s="57"/>
      <c r="B195" s="86" t="s">
        <v>508</v>
      </c>
      <c r="C195" s="113"/>
      <c r="D195" s="59"/>
      <c r="E195" s="59"/>
      <c r="F195" s="59"/>
      <c r="G195" s="113"/>
      <c r="H195" s="113"/>
      <c r="I195" s="60"/>
      <c r="J195" s="60"/>
      <c r="K195" s="60"/>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c r="FC195" s="61"/>
      <c r="FD195" s="61"/>
      <c r="FE195" s="61"/>
      <c r="FF195" s="61"/>
      <c r="FG195" s="61"/>
      <c r="FH195" s="61"/>
      <c r="FI195" s="61"/>
      <c r="FJ195" s="61"/>
      <c r="FK195" s="61"/>
      <c r="FL195" s="61"/>
      <c r="FM195" s="61"/>
      <c r="FN195" s="61"/>
      <c r="FO195" s="61"/>
      <c r="FP195" s="61"/>
      <c r="FQ195" s="61"/>
      <c r="FR195" s="61"/>
      <c r="FS195" s="61"/>
      <c r="FT195" s="61"/>
      <c r="FU195" s="61"/>
      <c r="FV195" s="61"/>
      <c r="FW195" s="61"/>
      <c r="FX195" s="61"/>
      <c r="FY195" s="61"/>
      <c r="FZ195" s="61"/>
      <c r="GA195" s="61"/>
      <c r="GB195" s="61"/>
      <c r="GC195" s="61"/>
      <c r="GD195" s="61"/>
      <c r="GE195" s="61"/>
      <c r="GF195" s="61"/>
      <c r="GG195" s="61"/>
      <c r="GH195" s="61"/>
      <c r="GI195" s="61"/>
      <c r="GJ195" s="61"/>
      <c r="GK195" s="61"/>
      <c r="GL195" s="61"/>
      <c r="GM195" s="61"/>
      <c r="GN195" s="61"/>
      <c r="GO195" s="61"/>
      <c r="GP195" s="61"/>
      <c r="GQ195" s="61"/>
      <c r="GR195" s="61"/>
      <c r="GS195" s="61"/>
      <c r="GT195" s="61"/>
      <c r="GU195" s="61"/>
      <c r="GV195" s="61"/>
      <c r="GW195" s="61"/>
      <c r="GX195" s="61"/>
      <c r="GY195" s="61"/>
      <c r="GZ195" s="61"/>
      <c r="HA195" s="61"/>
      <c r="HB195" s="61"/>
      <c r="HC195" s="61"/>
      <c r="HD195" s="61"/>
      <c r="HE195" s="61"/>
      <c r="HF195" s="61"/>
      <c r="HG195" s="61"/>
      <c r="HH195" s="61"/>
      <c r="HI195" s="61"/>
      <c r="HJ195" s="61"/>
      <c r="HK195" s="61"/>
      <c r="HL195" s="61"/>
      <c r="HM195" s="61"/>
      <c r="HN195" s="61"/>
      <c r="HO195" s="61"/>
      <c r="HP195" s="61"/>
      <c r="HQ195" s="61"/>
      <c r="HR195" s="61"/>
      <c r="HS195" s="61"/>
      <c r="HT195" s="61"/>
      <c r="HU195" s="61"/>
      <c r="HV195" s="61"/>
      <c r="HW195" s="61"/>
      <c r="HX195" s="61"/>
      <c r="HY195" s="61"/>
      <c r="HZ195" s="61"/>
      <c r="IA195" s="61"/>
      <c r="IB195" s="61"/>
      <c r="IC195" s="61"/>
      <c r="ID195" s="61"/>
      <c r="IE195" s="61"/>
      <c r="IF195" s="61"/>
      <c r="IG195" s="61"/>
      <c r="IH195" s="61"/>
      <c r="II195" s="61"/>
      <c r="IJ195" s="61"/>
      <c r="IK195" s="61"/>
      <c r="IL195" s="61"/>
      <c r="IM195" s="61"/>
      <c r="IN195" s="61"/>
    </row>
    <row r="196" spans="1:248">
      <c r="A196" s="57"/>
      <c r="B196" s="66" t="s">
        <v>361</v>
      </c>
      <c r="C196" s="113"/>
      <c r="D196" s="59"/>
      <c r="E196" s="59"/>
      <c r="F196" s="59"/>
      <c r="G196" s="65"/>
      <c r="H196" s="65"/>
      <c r="I196" s="60"/>
      <c r="J196" s="60"/>
      <c r="K196" s="60"/>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IN196" s="61"/>
    </row>
    <row r="197" spans="1:248">
      <c r="A197" s="57" t="s">
        <v>424</v>
      </c>
      <c r="B197" s="87" t="s">
        <v>425</v>
      </c>
      <c r="C197" s="113">
        <f t="shared" ref="C197:H197" si="69">+C198+C199+C200</f>
        <v>0</v>
      </c>
      <c r="D197" s="113">
        <f t="shared" si="69"/>
        <v>1882000</v>
      </c>
      <c r="E197" s="113">
        <f t="shared" si="69"/>
        <v>1791000</v>
      </c>
      <c r="F197" s="113">
        <f t="shared" si="69"/>
        <v>1229670</v>
      </c>
      <c r="G197" s="113">
        <f t="shared" si="69"/>
        <v>1058008.2</v>
      </c>
      <c r="H197" s="113">
        <f t="shared" si="69"/>
        <v>197008.2</v>
      </c>
      <c r="I197" s="60"/>
      <c r="J197" s="60"/>
      <c r="K197" s="60"/>
      <c r="L197" s="61"/>
      <c r="IN197" s="61"/>
    </row>
    <row r="198" spans="1:248">
      <c r="A198" s="57"/>
      <c r="B198" s="84" t="s">
        <v>416</v>
      </c>
      <c r="C198" s="113"/>
      <c r="D198" s="59">
        <v>1882000</v>
      </c>
      <c r="E198" s="59">
        <v>1791000</v>
      </c>
      <c r="F198" s="59">
        <v>1229670</v>
      </c>
      <c r="G198" s="88">
        <f>729000+132000+197008.2</f>
        <v>1058008.2</v>
      </c>
      <c r="H198" s="88">
        <v>197008.2</v>
      </c>
      <c r="I198" s="60"/>
      <c r="J198" s="60"/>
      <c r="K198" s="60"/>
      <c r="M198" s="88"/>
      <c r="N198" s="88"/>
      <c r="O198" s="88"/>
      <c r="P198" s="88"/>
      <c r="Q198" s="88"/>
      <c r="R198" s="88"/>
      <c r="S198" s="88"/>
      <c r="T198" s="88"/>
      <c r="U198" s="88"/>
      <c r="V198" s="88"/>
      <c r="W198" s="88"/>
      <c r="X198" s="88"/>
      <c r="Y198" s="88"/>
      <c r="Z198" s="88"/>
      <c r="AA198" s="88"/>
      <c r="AB198" s="88"/>
      <c r="AC198" s="88"/>
      <c r="AD198" s="88"/>
      <c r="AE198" s="88"/>
      <c r="IN198" s="61"/>
    </row>
    <row r="199" spans="1:248" ht="30">
      <c r="A199" s="57"/>
      <c r="B199" s="84" t="s">
        <v>426</v>
      </c>
      <c r="C199" s="113"/>
      <c r="D199" s="59"/>
      <c r="E199" s="59"/>
      <c r="F199" s="59"/>
      <c r="G199" s="88"/>
      <c r="H199" s="88"/>
      <c r="I199" s="88"/>
      <c r="J199" s="60"/>
      <c r="K199" s="60"/>
      <c r="L199" s="88"/>
      <c r="M199" s="45"/>
      <c r="N199" s="45"/>
      <c r="O199" s="45"/>
      <c r="P199" s="45"/>
      <c r="Q199" s="45"/>
      <c r="R199" s="45"/>
      <c r="S199" s="45"/>
      <c r="T199" s="45"/>
      <c r="U199" s="45"/>
      <c r="V199" s="45"/>
      <c r="W199" s="45"/>
      <c r="X199" s="45"/>
      <c r="Y199" s="45"/>
      <c r="Z199" s="45"/>
      <c r="AA199" s="45"/>
      <c r="AB199" s="45"/>
      <c r="AC199" s="45"/>
      <c r="AD199" s="45"/>
      <c r="AE199" s="45"/>
      <c r="IN199" s="61"/>
    </row>
    <row r="200" spans="1:248" ht="75">
      <c r="A200" s="57"/>
      <c r="B200" s="84" t="s">
        <v>370</v>
      </c>
      <c r="C200" s="113"/>
      <c r="D200" s="59"/>
      <c r="E200" s="59"/>
      <c r="F200" s="59"/>
      <c r="G200" s="88"/>
      <c r="H200" s="88"/>
      <c r="I200" s="45"/>
      <c r="J200" s="60"/>
      <c r="K200" s="60"/>
      <c r="L200" s="45"/>
      <c r="M200" s="45"/>
      <c r="N200" s="45"/>
      <c r="O200" s="45"/>
      <c r="P200" s="45"/>
      <c r="Q200" s="45"/>
      <c r="R200" s="45"/>
      <c r="S200" s="45"/>
      <c r="T200" s="45"/>
      <c r="U200" s="45"/>
      <c r="V200" s="45"/>
      <c r="W200" s="45"/>
      <c r="X200" s="45"/>
      <c r="Y200" s="45"/>
      <c r="Z200" s="45"/>
      <c r="AA200" s="45"/>
      <c r="AB200" s="45"/>
      <c r="AC200" s="45"/>
      <c r="AD200" s="45"/>
      <c r="AE200" s="45"/>
    </row>
    <row r="201" spans="1:248">
      <c r="A201" s="57"/>
      <c r="B201" s="66" t="s">
        <v>361</v>
      </c>
      <c r="C201" s="113"/>
      <c r="D201" s="59"/>
      <c r="E201" s="59"/>
      <c r="F201" s="59"/>
      <c r="G201" s="88"/>
      <c r="H201" s="88"/>
      <c r="I201" s="45"/>
      <c r="J201" s="60"/>
      <c r="K201" s="60"/>
      <c r="L201" s="45"/>
    </row>
    <row r="202" spans="1:248">
      <c r="A202" s="57" t="s">
        <v>427</v>
      </c>
      <c r="B202" s="87" t="s">
        <v>428</v>
      </c>
      <c r="C202" s="111">
        <f>+C203+C204+C208+C211+C205+C212</f>
        <v>0</v>
      </c>
      <c r="D202" s="111">
        <f t="shared" ref="D202:H202" si="70">+D203+D204+D208+D211+D205+D212</f>
        <v>21860440</v>
      </c>
      <c r="E202" s="111">
        <f t="shared" si="70"/>
        <v>21430400</v>
      </c>
      <c r="F202" s="111">
        <f t="shared" si="70"/>
        <v>17884360</v>
      </c>
      <c r="G202" s="111">
        <f t="shared" si="70"/>
        <v>15421798.66</v>
      </c>
      <c r="H202" s="111">
        <f t="shared" si="70"/>
        <v>1885500.3</v>
      </c>
      <c r="I202" s="60"/>
      <c r="J202" s="60"/>
      <c r="K202" s="60"/>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c r="CS202" s="61"/>
      <c r="CT202" s="61"/>
      <c r="CU202" s="61"/>
      <c r="CV202" s="61"/>
      <c r="CW202" s="61"/>
      <c r="CX202" s="61"/>
      <c r="CY202" s="61"/>
      <c r="CZ202" s="61"/>
      <c r="DA202" s="61"/>
      <c r="DB202" s="61"/>
      <c r="DC202" s="61"/>
      <c r="DD202" s="61"/>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61"/>
      <c r="EZ202" s="61"/>
      <c r="FA202" s="61"/>
      <c r="FB202" s="61"/>
      <c r="FC202" s="61"/>
      <c r="FD202" s="61"/>
      <c r="FE202" s="61"/>
      <c r="FF202" s="61"/>
      <c r="FG202" s="61"/>
      <c r="FH202" s="61"/>
      <c r="FI202" s="61"/>
      <c r="FJ202" s="61"/>
      <c r="FK202" s="61"/>
      <c r="FL202" s="61"/>
      <c r="FM202" s="61"/>
      <c r="FN202" s="61"/>
      <c r="FO202" s="61"/>
      <c r="FP202" s="61"/>
      <c r="FQ202" s="61"/>
      <c r="FR202" s="61"/>
      <c r="FS202" s="61"/>
      <c r="FT202" s="61"/>
      <c r="FU202" s="61"/>
      <c r="FV202" s="61"/>
      <c r="FW202" s="61"/>
      <c r="FX202" s="61"/>
      <c r="FY202" s="61"/>
      <c r="FZ202" s="61"/>
      <c r="GA202" s="61"/>
      <c r="GB202" s="61"/>
      <c r="GC202" s="61"/>
      <c r="GD202" s="61"/>
      <c r="GE202" s="61"/>
      <c r="GF202" s="61"/>
      <c r="GG202" s="61"/>
      <c r="GH202" s="61"/>
      <c r="GI202" s="61"/>
      <c r="GJ202" s="61"/>
      <c r="GK202" s="61"/>
      <c r="GL202" s="61"/>
      <c r="GM202" s="61"/>
      <c r="GN202" s="61"/>
      <c r="GO202" s="61"/>
      <c r="GP202" s="61"/>
      <c r="GQ202" s="61"/>
      <c r="GR202" s="61"/>
      <c r="GS202" s="61"/>
      <c r="GT202" s="61"/>
      <c r="GU202" s="61"/>
      <c r="GV202" s="61"/>
      <c r="GW202" s="61"/>
      <c r="GX202" s="61"/>
      <c r="GY202" s="61"/>
      <c r="GZ202" s="61"/>
      <c r="HA202" s="61"/>
      <c r="HB202" s="61"/>
      <c r="HC202" s="61"/>
      <c r="HD202" s="61"/>
      <c r="HE202" s="61"/>
      <c r="HF202" s="61"/>
      <c r="HG202" s="61"/>
      <c r="HH202" s="61"/>
      <c r="HI202" s="61"/>
      <c r="HJ202" s="61"/>
      <c r="HK202" s="61"/>
      <c r="HL202" s="61"/>
      <c r="HM202" s="61"/>
      <c r="HN202" s="61"/>
      <c r="HO202" s="61"/>
      <c r="HP202" s="61"/>
      <c r="HQ202" s="61"/>
      <c r="HR202" s="61"/>
      <c r="HS202" s="61"/>
      <c r="HT202" s="61"/>
      <c r="HU202" s="61"/>
      <c r="HV202" s="61"/>
      <c r="HW202" s="61"/>
      <c r="HX202" s="61"/>
      <c r="HY202" s="61"/>
      <c r="HZ202" s="61"/>
      <c r="IA202" s="61"/>
      <c r="IB202" s="61"/>
      <c r="IC202" s="61"/>
      <c r="ID202" s="61"/>
      <c r="IE202" s="61"/>
      <c r="IF202" s="61"/>
      <c r="IG202" s="61"/>
      <c r="IH202" s="61"/>
      <c r="II202" s="61"/>
      <c r="IJ202" s="61"/>
      <c r="IK202" s="61"/>
      <c r="IL202" s="61"/>
      <c r="IM202" s="61"/>
    </row>
    <row r="203" spans="1:248">
      <c r="A203" s="57"/>
      <c r="B203" s="65" t="s">
        <v>429</v>
      </c>
      <c r="C203" s="113"/>
      <c r="D203" s="59">
        <v>21813540</v>
      </c>
      <c r="E203" s="59">
        <v>21379700</v>
      </c>
      <c r="F203" s="59">
        <v>17833660</v>
      </c>
      <c r="G203" s="88">
        <f>11199610+2300000+1871660.3</f>
        <v>15371270.300000001</v>
      </c>
      <c r="H203" s="88">
        <v>1871660.3</v>
      </c>
      <c r="I203" s="60"/>
      <c r="J203" s="60"/>
      <c r="K203" s="60"/>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row>
    <row r="204" spans="1:248" ht="75">
      <c r="A204" s="57"/>
      <c r="B204" s="65" t="s">
        <v>370</v>
      </c>
      <c r="C204" s="113"/>
      <c r="D204" s="59">
        <v>580</v>
      </c>
      <c r="E204" s="59">
        <v>580</v>
      </c>
      <c r="F204" s="59">
        <v>580</v>
      </c>
      <c r="G204" s="88">
        <v>568.36</v>
      </c>
      <c r="H204" s="88">
        <v>0</v>
      </c>
      <c r="I204" s="60"/>
      <c r="J204" s="60"/>
      <c r="K204" s="60"/>
      <c r="L204" s="61"/>
    </row>
    <row r="205" spans="1:248">
      <c r="A205" s="57"/>
      <c r="B205" s="65" t="s">
        <v>430</v>
      </c>
      <c r="C205" s="113">
        <f t="shared" ref="C205:H205" si="71">C206+C207</f>
        <v>0</v>
      </c>
      <c r="D205" s="113">
        <f t="shared" si="71"/>
        <v>0</v>
      </c>
      <c r="E205" s="113">
        <f t="shared" si="71"/>
        <v>0</v>
      </c>
      <c r="F205" s="113">
        <f t="shared" si="71"/>
        <v>0</v>
      </c>
      <c r="G205" s="113">
        <f t="shared" si="71"/>
        <v>0</v>
      </c>
      <c r="H205" s="113">
        <f t="shared" si="71"/>
        <v>0</v>
      </c>
      <c r="I205" s="60"/>
      <c r="J205" s="60"/>
      <c r="K205" s="60"/>
      <c r="L205" s="61"/>
    </row>
    <row r="206" spans="1:248">
      <c r="A206" s="57"/>
      <c r="B206" s="65" t="s">
        <v>368</v>
      </c>
      <c r="C206" s="113"/>
      <c r="D206" s="59"/>
      <c r="E206" s="59"/>
      <c r="F206" s="59"/>
      <c r="G206" s="88"/>
      <c r="H206" s="88"/>
      <c r="I206" s="60"/>
      <c r="J206" s="60"/>
      <c r="K206" s="60"/>
      <c r="L206" s="61"/>
    </row>
    <row r="207" spans="1:248" ht="75">
      <c r="A207" s="57"/>
      <c r="B207" s="65" t="s">
        <v>370</v>
      </c>
      <c r="C207" s="113"/>
      <c r="D207" s="59"/>
      <c r="E207" s="59"/>
      <c r="F207" s="59"/>
      <c r="G207" s="88"/>
      <c r="H207" s="88"/>
      <c r="I207" s="60"/>
      <c r="J207" s="60"/>
      <c r="K207" s="60"/>
      <c r="L207" s="61"/>
    </row>
    <row r="208" spans="1:248" ht="30">
      <c r="A208" s="57"/>
      <c r="B208" s="65" t="s">
        <v>431</v>
      </c>
      <c r="C208" s="113">
        <f t="shared" ref="C208:H208" si="72">C209+C210</f>
        <v>0</v>
      </c>
      <c r="D208" s="113">
        <f t="shared" si="72"/>
        <v>46320</v>
      </c>
      <c r="E208" s="113">
        <f t="shared" si="72"/>
        <v>50120</v>
      </c>
      <c r="F208" s="113">
        <f t="shared" si="72"/>
        <v>50120</v>
      </c>
      <c r="G208" s="113">
        <f t="shared" si="72"/>
        <v>49960</v>
      </c>
      <c r="H208" s="113">
        <f t="shared" si="72"/>
        <v>13840</v>
      </c>
      <c r="I208" s="60"/>
      <c r="J208" s="60"/>
      <c r="K208" s="60"/>
    </row>
    <row r="209" spans="1:248">
      <c r="A209" s="64"/>
      <c r="B209" s="65" t="s">
        <v>368</v>
      </c>
      <c r="C209" s="113"/>
      <c r="D209" s="59">
        <v>46320</v>
      </c>
      <c r="E209" s="59">
        <v>50120</v>
      </c>
      <c r="F209" s="59">
        <v>50120</v>
      </c>
      <c r="G209" s="88">
        <f>36120+13840</f>
        <v>49960</v>
      </c>
      <c r="H209" s="88">
        <v>13840</v>
      </c>
      <c r="I209" s="60"/>
      <c r="J209" s="60"/>
      <c r="K209" s="60"/>
    </row>
    <row r="210" spans="1:248" ht="75">
      <c r="A210" s="64"/>
      <c r="B210" s="65" t="s">
        <v>370</v>
      </c>
      <c r="C210" s="113"/>
      <c r="D210" s="59"/>
      <c r="E210" s="59"/>
      <c r="F210" s="59"/>
      <c r="G210" s="88"/>
      <c r="H210" s="88"/>
      <c r="I210" s="60"/>
      <c r="J210" s="60"/>
      <c r="K210" s="60"/>
      <c r="IN210" s="61"/>
    </row>
    <row r="211" spans="1:248" ht="30">
      <c r="A211" s="57"/>
      <c r="B211" s="65" t="s">
        <v>432</v>
      </c>
      <c r="C211" s="113"/>
      <c r="D211" s="59"/>
      <c r="E211" s="59"/>
      <c r="F211" s="59"/>
      <c r="G211" s="88"/>
      <c r="H211" s="88"/>
      <c r="I211" s="60"/>
      <c r="J211" s="60"/>
      <c r="K211" s="60"/>
      <c r="IN211" s="61"/>
    </row>
    <row r="212" spans="1:248">
      <c r="A212" s="64"/>
      <c r="B212" s="65" t="s">
        <v>509</v>
      </c>
      <c r="C212" s="113"/>
      <c r="D212" s="59"/>
      <c r="E212" s="59"/>
      <c r="F212" s="59"/>
      <c r="G212" s="88"/>
      <c r="H212" s="88"/>
      <c r="I212" s="60"/>
      <c r="J212" s="60"/>
      <c r="K212" s="60"/>
    </row>
    <row r="213" spans="1:248">
      <c r="A213" s="64"/>
      <c r="B213" s="66" t="s">
        <v>361</v>
      </c>
      <c r="C213" s="113"/>
      <c r="D213" s="59"/>
      <c r="E213" s="59"/>
      <c r="F213" s="59"/>
      <c r="G213" s="88"/>
      <c r="H213" s="88"/>
      <c r="I213" s="60"/>
      <c r="J213" s="60"/>
      <c r="K213" s="60"/>
    </row>
    <row r="214" spans="1:248" ht="16.5" customHeight="1">
      <c r="A214" s="64" t="s">
        <v>433</v>
      </c>
      <c r="B214" s="87" t="s">
        <v>434</v>
      </c>
      <c r="C214" s="113">
        <f>+C215+C216+C217</f>
        <v>0</v>
      </c>
      <c r="D214" s="113">
        <f t="shared" ref="D214:H214" si="73">+D215+D216+D217</f>
        <v>4215000</v>
      </c>
      <c r="E214" s="113">
        <f t="shared" si="73"/>
        <v>3853000</v>
      </c>
      <c r="F214" s="113">
        <f t="shared" si="73"/>
        <v>2470170</v>
      </c>
      <c r="G214" s="113">
        <f t="shared" si="73"/>
        <v>2038526</v>
      </c>
      <c r="H214" s="113">
        <f t="shared" si="73"/>
        <v>468212.5</v>
      </c>
      <c r="J214" s="60"/>
      <c r="K214" s="60"/>
    </row>
    <row r="215" spans="1:248">
      <c r="A215" s="64"/>
      <c r="B215" s="84" t="s">
        <v>416</v>
      </c>
      <c r="C215" s="113"/>
      <c r="D215" s="59">
        <v>4215000</v>
      </c>
      <c r="E215" s="59">
        <v>3853000</v>
      </c>
      <c r="F215" s="59">
        <v>2470170</v>
      </c>
      <c r="G215" s="88">
        <f>1279000+291313.5+468212.5</f>
        <v>2038526</v>
      </c>
      <c r="H215" s="88">
        <v>468212.5</v>
      </c>
      <c r="J215" s="60"/>
      <c r="K215" s="60"/>
    </row>
    <row r="216" spans="1:248" ht="30">
      <c r="A216" s="64"/>
      <c r="B216" s="84" t="s">
        <v>426</v>
      </c>
      <c r="C216" s="113"/>
      <c r="D216" s="59"/>
      <c r="E216" s="59"/>
      <c r="F216" s="59"/>
      <c r="G216" s="88"/>
      <c r="H216" s="88"/>
      <c r="J216" s="60"/>
      <c r="K216" s="60"/>
    </row>
    <row r="217" spans="1:248" ht="75">
      <c r="A217" s="64"/>
      <c r="B217" s="84" t="s">
        <v>370</v>
      </c>
      <c r="C217" s="113"/>
      <c r="D217" s="59"/>
      <c r="E217" s="59"/>
      <c r="F217" s="59"/>
      <c r="G217" s="88"/>
      <c r="H217" s="88"/>
      <c r="J217" s="60"/>
      <c r="K217" s="60"/>
    </row>
    <row r="218" spans="1:248">
      <c r="A218" s="64"/>
      <c r="B218" s="66" t="s">
        <v>361</v>
      </c>
      <c r="C218" s="113"/>
      <c r="D218" s="59"/>
      <c r="E218" s="59"/>
      <c r="F218" s="59"/>
      <c r="G218" s="88">
        <v>-19600</v>
      </c>
      <c r="H218" s="88"/>
      <c r="J218" s="60"/>
      <c r="K218" s="60"/>
    </row>
    <row r="219" spans="1:248">
      <c r="A219" s="64" t="s">
        <v>435</v>
      </c>
      <c r="B219" s="62" t="s">
        <v>436</v>
      </c>
      <c r="C219" s="113">
        <f t="shared" ref="C219:H219" si="74">C220+C221</f>
        <v>0</v>
      </c>
      <c r="D219" s="113">
        <f t="shared" si="74"/>
        <v>229000</v>
      </c>
      <c r="E219" s="113">
        <f t="shared" si="74"/>
        <v>210000</v>
      </c>
      <c r="F219" s="113">
        <f t="shared" si="74"/>
        <v>138330</v>
      </c>
      <c r="G219" s="113">
        <f t="shared" si="74"/>
        <v>125554.83</v>
      </c>
      <c r="H219" s="113">
        <f t="shared" si="74"/>
        <v>25754.83</v>
      </c>
      <c r="J219" s="60"/>
      <c r="K219" s="60"/>
    </row>
    <row r="220" spans="1:248">
      <c r="A220" s="64"/>
      <c r="B220" s="89" t="s">
        <v>368</v>
      </c>
      <c r="C220" s="113"/>
      <c r="D220" s="59">
        <v>229000</v>
      </c>
      <c r="E220" s="59">
        <v>210000</v>
      </c>
      <c r="F220" s="59">
        <v>138330</v>
      </c>
      <c r="G220" s="133">
        <f>74000+25800+25754.83</f>
        <v>125554.83</v>
      </c>
      <c r="H220" s="133">
        <v>25754.83</v>
      </c>
      <c r="J220" s="60"/>
      <c r="K220" s="60"/>
    </row>
    <row r="221" spans="1:248" ht="75">
      <c r="A221" s="64"/>
      <c r="B221" s="89" t="s">
        <v>370</v>
      </c>
      <c r="C221" s="113"/>
      <c r="D221" s="59"/>
      <c r="E221" s="59"/>
      <c r="F221" s="59"/>
      <c r="G221" s="133"/>
      <c r="H221" s="133"/>
      <c r="J221" s="60"/>
      <c r="K221" s="60"/>
    </row>
    <row r="222" spans="1:248">
      <c r="A222" s="64"/>
      <c r="B222" s="66" t="s">
        <v>361</v>
      </c>
      <c r="C222" s="113"/>
      <c r="D222" s="59"/>
      <c r="E222" s="59"/>
      <c r="F222" s="59"/>
      <c r="G222" s="133"/>
      <c r="H222" s="133"/>
      <c r="J222" s="60"/>
      <c r="K222" s="60"/>
    </row>
    <row r="223" spans="1:248">
      <c r="A223" s="64" t="s">
        <v>437</v>
      </c>
      <c r="B223" s="62" t="s">
        <v>438</v>
      </c>
      <c r="C223" s="112">
        <f>+C224+C242</f>
        <v>0</v>
      </c>
      <c r="D223" s="112">
        <f t="shared" ref="D223:H223" si="75">+D224+D242</f>
        <v>260772380</v>
      </c>
      <c r="E223" s="112">
        <f t="shared" si="75"/>
        <v>218240410</v>
      </c>
      <c r="F223" s="112">
        <f t="shared" si="75"/>
        <v>198939860</v>
      </c>
      <c r="G223" s="112">
        <f t="shared" si="75"/>
        <v>174534174.79999998</v>
      </c>
      <c r="H223" s="112">
        <f t="shared" si="75"/>
        <v>24405620.329999998</v>
      </c>
      <c r="I223" s="90"/>
      <c r="J223" s="60"/>
      <c r="K223" s="60"/>
    </row>
    <row r="224" spans="1:248">
      <c r="A224" s="64" t="s">
        <v>439</v>
      </c>
      <c r="B224" s="62" t="s">
        <v>440</v>
      </c>
      <c r="C224" s="113">
        <f>C225+C228+C229+C230+C231+C234+C237+C240</f>
        <v>0</v>
      </c>
      <c r="D224" s="113">
        <f t="shared" ref="D224:H224" si="76">D225+D228+D229+D230+D231+D234+D237+D240</f>
        <v>250315460</v>
      </c>
      <c r="E224" s="113">
        <f t="shared" si="76"/>
        <v>208282600</v>
      </c>
      <c r="F224" s="113">
        <f t="shared" si="76"/>
        <v>191510710</v>
      </c>
      <c r="G224" s="113">
        <f t="shared" si="76"/>
        <v>168412821.19999999</v>
      </c>
      <c r="H224" s="113">
        <f t="shared" si="76"/>
        <v>23430020.729999997</v>
      </c>
      <c r="I224" s="90"/>
      <c r="J224" s="60"/>
      <c r="K224" s="60"/>
    </row>
    <row r="225" spans="1:11">
      <c r="A225" s="64"/>
      <c r="B225" s="65" t="s">
        <v>513</v>
      </c>
      <c r="C225" s="113">
        <f>C226+C227</f>
        <v>0</v>
      </c>
      <c r="D225" s="113">
        <f t="shared" ref="D225:F225" si="77">D226+D227</f>
        <v>239226430</v>
      </c>
      <c r="E225" s="113">
        <f t="shared" si="77"/>
        <v>197447430</v>
      </c>
      <c r="F225" s="113">
        <f t="shared" si="77"/>
        <v>181932890</v>
      </c>
      <c r="G225" s="113">
        <f t="shared" ref="G225:H225" si="78">G226+G227</f>
        <v>161738171.66999999</v>
      </c>
      <c r="H225" s="113">
        <f t="shared" si="78"/>
        <v>22455651.669999998</v>
      </c>
      <c r="I225" s="90"/>
      <c r="J225" s="60"/>
      <c r="K225" s="60"/>
    </row>
    <row r="226" spans="1:11">
      <c r="A226" s="64"/>
      <c r="B226" s="119" t="s">
        <v>514</v>
      </c>
      <c r="C226" s="113"/>
      <c r="D226" s="59">
        <f>233860390+3974040</f>
        <v>237834430</v>
      </c>
      <c r="E226" s="59">
        <f>192273390+3974040</f>
        <v>196247430</v>
      </c>
      <c r="F226" s="111">
        <f>176758850+3974040</f>
        <v>180732890</v>
      </c>
      <c r="G226" s="88">
        <f>98110486.75+19852880.62+20394535.26+22332689.47</f>
        <v>160690592.09999999</v>
      </c>
      <c r="H226" s="88">
        <v>22332689.469999999</v>
      </c>
      <c r="I226" s="90"/>
      <c r="J226" s="60"/>
      <c r="K226" s="60"/>
    </row>
    <row r="227" spans="1:11">
      <c r="A227" s="64"/>
      <c r="B227" s="119" t="s">
        <v>515</v>
      </c>
      <c r="C227" s="113"/>
      <c r="D227" s="59">
        <v>1392000</v>
      </c>
      <c r="E227" s="59">
        <v>1200000</v>
      </c>
      <c r="F227" s="59">
        <v>1200000</v>
      </c>
      <c r="G227" s="88">
        <f>621903.25+147119.38+155594.74+122962.2</f>
        <v>1047579.57</v>
      </c>
      <c r="H227" s="88">
        <v>122962.2</v>
      </c>
      <c r="I227" s="90"/>
      <c r="J227" s="60"/>
      <c r="K227" s="60"/>
    </row>
    <row r="228" spans="1:11" ht="75">
      <c r="A228" s="64"/>
      <c r="B228" s="65" t="s">
        <v>370</v>
      </c>
      <c r="C228" s="113"/>
      <c r="D228" s="59">
        <v>24030</v>
      </c>
      <c r="E228" s="59">
        <v>24030</v>
      </c>
      <c r="F228" s="59">
        <v>24030</v>
      </c>
      <c r="G228" s="88">
        <f>19253.47+1507.06</f>
        <v>20760.530000000002</v>
      </c>
      <c r="H228" s="88">
        <v>1507.06</v>
      </c>
      <c r="I228" s="90"/>
      <c r="J228" s="60"/>
      <c r="K228" s="60"/>
    </row>
    <row r="229" spans="1:11" ht="45">
      <c r="A229" s="64"/>
      <c r="B229" s="65" t="s">
        <v>444</v>
      </c>
      <c r="C229" s="113"/>
      <c r="D229" s="59"/>
      <c r="E229" s="139"/>
      <c r="F229" s="140"/>
      <c r="G229" s="88"/>
      <c r="H229" s="88"/>
      <c r="I229" s="90"/>
      <c r="J229" s="60"/>
      <c r="K229" s="60"/>
    </row>
    <row r="230" spans="1:11">
      <c r="A230" s="64"/>
      <c r="B230" s="65" t="s">
        <v>445</v>
      </c>
      <c r="C230" s="113"/>
      <c r="D230" s="59">
        <v>11065000</v>
      </c>
      <c r="E230" s="59">
        <v>10811140</v>
      </c>
      <c r="F230" s="59">
        <v>9553790</v>
      </c>
      <c r="G230" s="88">
        <f>5681027+972862</f>
        <v>6653889</v>
      </c>
      <c r="H230" s="88">
        <v>972862</v>
      </c>
      <c r="I230" s="90"/>
      <c r="J230" s="60"/>
      <c r="K230" s="60"/>
    </row>
    <row r="231" spans="1:11" ht="45">
      <c r="A231" s="64"/>
      <c r="B231" s="65" t="s">
        <v>441</v>
      </c>
      <c r="C231" s="113">
        <f t="shared" ref="C231:H231" si="79">C232+C233</f>
        <v>0</v>
      </c>
      <c r="D231" s="113">
        <f t="shared" si="79"/>
        <v>0</v>
      </c>
      <c r="E231" s="113">
        <f t="shared" si="79"/>
        <v>0</v>
      </c>
      <c r="F231" s="113">
        <f t="shared" si="79"/>
        <v>0</v>
      </c>
      <c r="G231" s="113">
        <f t="shared" si="79"/>
        <v>0</v>
      </c>
      <c r="H231" s="113">
        <f t="shared" si="79"/>
        <v>0</v>
      </c>
      <c r="I231" s="90"/>
      <c r="J231" s="60"/>
      <c r="K231" s="60"/>
    </row>
    <row r="232" spans="1:11">
      <c r="A232" s="64"/>
      <c r="B232" s="65" t="s">
        <v>372</v>
      </c>
      <c r="C232" s="113"/>
      <c r="D232" s="59"/>
      <c r="E232" s="59"/>
      <c r="F232" s="59"/>
      <c r="G232" s="88"/>
      <c r="H232" s="88"/>
      <c r="I232" s="90"/>
      <c r="J232" s="60"/>
      <c r="K232" s="60"/>
    </row>
    <row r="233" spans="1:11" ht="75">
      <c r="A233" s="64"/>
      <c r="B233" s="65" t="s">
        <v>370</v>
      </c>
      <c r="C233" s="113"/>
      <c r="D233" s="59"/>
      <c r="E233" s="59"/>
      <c r="F233" s="59"/>
      <c r="G233" s="88"/>
      <c r="H233" s="88"/>
      <c r="I233" s="90"/>
      <c r="J233" s="60"/>
      <c r="K233" s="60"/>
    </row>
    <row r="234" spans="1:11" ht="30">
      <c r="B234" s="65" t="s">
        <v>442</v>
      </c>
      <c r="C234" s="113">
        <f>C235+C236</f>
        <v>0</v>
      </c>
      <c r="D234" s="113">
        <f t="shared" ref="D234:H234" si="80">D235+D236</f>
        <v>0</v>
      </c>
      <c r="E234" s="113">
        <f t="shared" si="80"/>
        <v>0</v>
      </c>
      <c r="F234" s="113">
        <f t="shared" si="80"/>
        <v>0</v>
      </c>
      <c r="G234" s="113">
        <f t="shared" si="80"/>
        <v>0</v>
      </c>
      <c r="H234" s="113">
        <f t="shared" si="80"/>
        <v>0</v>
      </c>
      <c r="J234" s="60"/>
      <c r="K234" s="60"/>
    </row>
    <row r="235" spans="1:11">
      <c r="B235" s="65" t="s">
        <v>372</v>
      </c>
      <c r="C235" s="113"/>
      <c r="D235" s="59"/>
      <c r="E235" s="59"/>
      <c r="F235" s="59"/>
      <c r="G235" s="133"/>
      <c r="H235" s="133"/>
      <c r="J235" s="60"/>
      <c r="K235" s="60"/>
    </row>
    <row r="236" spans="1:11" ht="75">
      <c r="B236" s="65" t="s">
        <v>370</v>
      </c>
      <c r="C236" s="113"/>
      <c r="D236" s="59"/>
      <c r="E236" s="59"/>
      <c r="F236" s="59"/>
      <c r="G236" s="133"/>
      <c r="H236" s="133"/>
      <c r="J236" s="60"/>
      <c r="K236" s="60"/>
    </row>
    <row r="237" spans="1:11">
      <c r="B237" s="91" t="s">
        <v>443</v>
      </c>
      <c r="C237" s="113">
        <f t="shared" ref="C237:H237" si="81">C238+C239</f>
        <v>0</v>
      </c>
      <c r="D237" s="113">
        <f t="shared" si="81"/>
        <v>0</v>
      </c>
      <c r="E237" s="113">
        <f t="shared" si="81"/>
        <v>0</v>
      </c>
      <c r="F237" s="113">
        <f t="shared" si="81"/>
        <v>0</v>
      </c>
      <c r="G237" s="113">
        <f t="shared" si="81"/>
        <v>0</v>
      </c>
      <c r="H237" s="113">
        <f t="shared" si="81"/>
        <v>0</v>
      </c>
      <c r="J237" s="60"/>
      <c r="K237" s="60"/>
    </row>
    <row r="238" spans="1:11">
      <c r="B238" s="91" t="s">
        <v>372</v>
      </c>
      <c r="C238" s="113"/>
      <c r="D238" s="59"/>
      <c r="E238" s="59"/>
      <c r="F238" s="59"/>
      <c r="G238" s="88"/>
      <c r="H238" s="88"/>
      <c r="J238" s="60"/>
      <c r="K238" s="60"/>
    </row>
    <row r="239" spans="1:11" ht="75">
      <c r="B239" s="91" t="s">
        <v>370</v>
      </c>
      <c r="C239" s="113"/>
      <c r="D239" s="59"/>
      <c r="E239" s="59"/>
      <c r="F239" s="59"/>
      <c r="G239" s="88"/>
      <c r="H239" s="88"/>
      <c r="J239" s="60"/>
      <c r="K239" s="60"/>
    </row>
    <row r="240" spans="1:11">
      <c r="B240" s="91" t="s">
        <v>510</v>
      </c>
      <c r="C240" s="113"/>
      <c r="D240" s="59"/>
      <c r="E240" s="59"/>
      <c r="F240" s="59"/>
      <c r="G240" s="88"/>
      <c r="H240" s="88"/>
      <c r="J240" s="60"/>
      <c r="K240" s="60"/>
    </row>
    <row r="241" spans="1:11">
      <c r="B241" s="66" t="s">
        <v>361</v>
      </c>
      <c r="C241" s="113"/>
      <c r="D241" s="59"/>
      <c r="E241" s="59"/>
      <c r="F241" s="59"/>
      <c r="G241" s="88">
        <f>-69932.47-35306.01-10163.35-200</f>
        <v>-115601.83000000002</v>
      </c>
      <c r="H241" s="88">
        <v>-200</v>
      </c>
      <c r="J241" s="60"/>
      <c r="K241" s="60"/>
    </row>
    <row r="242" spans="1:11">
      <c r="A242" s="41" t="s">
        <v>446</v>
      </c>
      <c r="B242" s="62" t="s">
        <v>447</v>
      </c>
      <c r="C242" s="113">
        <f t="shared" ref="C242:H242" si="82">C243+C244+C245+C246</f>
        <v>0</v>
      </c>
      <c r="D242" s="113">
        <f t="shared" si="82"/>
        <v>10456920</v>
      </c>
      <c r="E242" s="113">
        <f t="shared" si="82"/>
        <v>9957810</v>
      </c>
      <c r="F242" s="113">
        <f t="shared" si="82"/>
        <v>7429150</v>
      </c>
      <c r="G242" s="113">
        <f t="shared" si="82"/>
        <v>6121353.5999999996</v>
      </c>
      <c r="H242" s="113">
        <f t="shared" si="82"/>
        <v>975599.6</v>
      </c>
      <c r="J242" s="60"/>
      <c r="K242" s="60"/>
    </row>
    <row r="243" spans="1:11">
      <c r="B243" s="65" t="s">
        <v>368</v>
      </c>
      <c r="C243" s="113"/>
      <c r="D243" s="59">
        <v>8714000</v>
      </c>
      <c r="E243" s="59">
        <v>8302000</v>
      </c>
      <c r="F243" s="59">
        <v>6223340</v>
      </c>
      <c r="G243" s="88">
        <f>3731000+650000+871236.6</f>
        <v>5252236.5999999996</v>
      </c>
      <c r="H243" s="88">
        <v>871236.6</v>
      </c>
      <c r="J243" s="60"/>
      <c r="K243" s="60"/>
    </row>
    <row r="244" spans="1:11">
      <c r="B244" s="92" t="s">
        <v>448</v>
      </c>
      <c r="C244" s="113"/>
      <c r="D244" s="59"/>
      <c r="E244" s="59"/>
      <c r="F244" s="59"/>
      <c r="G244" s="88"/>
      <c r="H244" s="88"/>
      <c r="J244" s="60"/>
      <c r="K244" s="60"/>
    </row>
    <row r="245" spans="1:11" ht="75">
      <c r="B245" s="92" t="s">
        <v>370</v>
      </c>
      <c r="C245" s="113"/>
      <c r="D245" s="59"/>
      <c r="E245" s="59"/>
      <c r="F245" s="59"/>
      <c r="G245" s="88"/>
      <c r="H245" s="88"/>
      <c r="J245" s="60"/>
      <c r="K245" s="60"/>
    </row>
    <row r="246" spans="1:11">
      <c r="B246" s="92" t="s">
        <v>445</v>
      </c>
      <c r="C246" s="113"/>
      <c r="D246" s="59">
        <v>1742920</v>
      </c>
      <c r="E246" s="59">
        <v>1655810</v>
      </c>
      <c r="F246" s="59">
        <v>1205810</v>
      </c>
      <c r="G246" s="88">
        <f>764754+104363</f>
        <v>869117</v>
      </c>
      <c r="H246" s="88">
        <v>104363</v>
      </c>
      <c r="J246" s="60"/>
      <c r="K246" s="60"/>
    </row>
    <row r="247" spans="1:11">
      <c r="B247" s="66" t="s">
        <v>361</v>
      </c>
      <c r="C247" s="113"/>
      <c r="D247" s="59"/>
      <c r="E247" s="59"/>
      <c r="F247" s="59"/>
      <c r="G247" s="88"/>
      <c r="H247" s="88"/>
      <c r="J247" s="60"/>
      <c r="K247" s="60"/>
    </row>
    <row r="248" spans="1:11">
      <c r="A248" s="41" t="s">
        <v>449</v>
      </c>
      <c r="B248" s="66" t="s">
        <v>450</v>
      </c>
      <c r="C248" s="113"/>
      <c r="D248" s="59">
        <v>252000</v>
      </c>
      <c r="E248" s="59">
        <v>265000</v>
      </c>
      <c r="F248" s="59">
        <v>203670</v>
      </c>
      <c r="G248" s="88">
        <f>113446.25+16045+19737</f>
        <v>149228.25</v>
      </c>
      <c r="H248" s="88">
        <v>19737</v>
      </c>
      <c r="J248" s="60"/>
      <c r="K248" s="60"/>
    </row>
    <row r="249" spans="1:11">
      <c r="B249" s="66" t="s">
        <v>361</v>
      </c>
      <c r="C249" s="113"/>
      <c r="D249" s="59"/>
      <c r="E249" s="59"/>
      <c r="F249" s="59"/>
      <c r="G249" s="88"/>
      <c r="H249" s="88"/>
      <c r="J249" s="60"/>
      <c r="K249" s="60"/>
    </row>
    <row r="250" spans="1:11">
      <c r="A250" s="41" t="s">
        <v>451</v>
      </c>
      <c r="B250" s="66" t="s">
        <v>452</v>
      </c>
      <c r="C250" s="113"/>
      <c r="D250" s="59">
        <v>3720470</v>
      </c>
      <c r="E250" s="59">
        <v>3720470</v>
      </c>
      <c r="F250" s="59">
        <v>3720470</v>
      </c>
      <c r="G250" s="88">
        <f>3252736.12+467729.46</f>
        <v>3720465.58</v>
      </c>
      <c r="H250" s="88">
        <v>467729.46</v>
      </c>
      <c r="J250" s="60"/>
      <c r="K250" s="60"/>
    </row>
    <row r="251" spans="1:11">
      <c r="B251" s="66" t="s">
        <v>361</v>
      </c>
      <c r="C251" s="113"/>
      <c r="D251" s="59"/>
      <c r="E251" s="59"/>
      <c r="F251" s="59"/>
      <c r="G251" s="88">
        <f>-134423.34-20289.57-27518.45-32899.45</f>
        <v>-215130.81</v>
      </c>
      <c r="H251" s="88">
        <v>-32899.449999999997</v>
      </c>
      <c r="J251" s="60"/>
      <c r="K251" s="60"/>
    </row>
    <row r="252" spans="1:11" ht="30">
      <c r="B252" s="62" t="s">
        <v>453</v>
      </c>
      <c r="C252" s="113">
        <f>C87+C105+C141+C171+C175+C179+C191+C196+C201+C213+C218+C222+C241+C247+C249+C251</f>
        <v>0</v>
      </c>
      <c r="D252" s="113">
        <f t="shared" ref="D252:H252" si="83">D87+D105+D141+D171+D175+D179+D191+D196+D201+D213+D218+D222+D241+D247+D249+D251</f>
        <v>0</v>
      </c>
      <c r="E252" s="113">
        <f t="shared" si="83"/>
        <v>0</v>
      </c>
      <c r="F252" s="113">
        <f t="shared" si="83"/>
        <v>0</v>
      </c>
      <c r="G252" s="113">
        <f t="shared" si="83"/>
        <v>-386088.87</v>
      </c>
      <c r="H252" s="113">
        <f t="shared" si="83"/>
        <v>-33099.449999999997</v>
      </c>
      <c r="J252" s="60"/>
      <c r="K252" s="60"/>
    </row>
    <row r="253" spans="1:11" ht="30">
      <c r="A253" s="41" t="s">
        <v>224</v>
      </c>
      <c r="B253" s="62" t="s">
        <v>225</v>
      </c>
      <c r="C253" s="113">
        <f t="shared" ref="C253:H254" si="84">C254</f>
        <v>0</v>
      </c>
      <c r="D253" s="113">
        <f t="shared" si="84"/>
        <v>272635620</v>
      </c>
      <c r="E253" s="113">
        <f t="shared" si="84"/>
        <v>272635620</v>
      </c>
      <c r="F253" s="113">
        <f t="shared" si="84"/>
        <v>246717100</v>
      </c>
      <c r="G253" s="113">
        <f t="shared" si="84"/>
        <v>218358712</v>
      </c>
      <c r="H253" s="113">
        <f t="shared" si="84"/>
        <v>26971454</v>
      </c>
      <c r="J253" s="60"/>
      <c r="K253" s="60"/>
    </row>
    <row r="254" spans="1:11">
      <c r="A254" s="41" t="s">
        <v>454</v>
      </c>
      <c r="B254" s="62" t="s">
        <v>455</v>
      </c>
      <c r="C254" s="113">
        <f>C255</f>
        <v>0</v>
      </c>
      <c r="D254" s="113">
        <f t="shared" si="84"/>
        <v>272635620</v>
      </c>
      <c r="E254" s="113">
        <f t="shared" si="84"/>
        <v>272635620</v>
      </c>
      <c r="F254" s="113">
        <f t="shared" si="84"/>
        <v>246717100</v>
      </c>
      <c r="G254" s="113">
        <f t="shared" si="84"/>
        <v>218358712</v>
      </c>
      <c r="H254" s="113">
        <f t="shared" si="84"/>
        <v>26971454</v>
      </c>
      <c r="J254" s="60"/>
      <c r="K254" s="60"/>
    </row>
    <row r="255" spans="1:11" ht="45">
      <c r="A255" s="41" t="s">
        <v>456</v>
      </c>
      <c r="B255" s="62" t="s">
        <v>457</v>
      </c>
      <c r="C255" s="113">
        <f>C256+C257+C258+C259</f>
        <v>0</v>
      </c>
      <c r="D255" s="113">
        <f>D256+D257+D258+D259+D263</f>
        <v>272635620</v>
      </c>
      <c r="E255" s="113">
        <f t="shared" ref="E255:H255" si="85">E256+E257+E258+E259+E263</f>
        <v>272635620</v>
      </c>
      <c r="F255" s="113">
        <f t="shared" si="85"/>
        <v>246717100</v>
      </c>
      <c r="G255" s="113">
        <f t="shared" si="85"/>
        <v>218358712</v>
      </c>
      <c r="H255" s="113">
        <f t="shared" si="85"/>
        <v>26971454</v>
      </c>
      <c r="J255" s="60"/>
      <c r="K255" s="60"/>
    </row>
    <row r="256" spans="1:11" ht="45">
      <c r="B256" s="66" t="s">
        <v>458</v>
      </c>
      <c r="C256" s="113"/>
      <c r="D256" s="59">
        <v>239692000</v>
      </c>
      <c r="E256" s="59">
        <v>239692000</v>
      </c>
      <c r="F256" s="59">
        <v>218712960</v>
      </c>
      <c r="G256" s="113">
        <f>146633954+23770974+23850802</f>
        <v>194255730</v>
      </c>
      <c r="H256" s="113">
        <v>23850802</v>
      </c>
      <c r="J256" s="60"/>
      <c r="K256" s="60"/>
    </row>
    <row r="257" spans="1:11" ht="45">
      <c r="B257" s="66" t="s">
        <v>459</v>
      </c>
      <c r="C257" s="113"/>
      <c r="D257" s="59">
        <v>1730000</v>
      </c>
      <c r="E257" s="59">
        <v>1730000</v>
      </c>
      <c r="F257" s="59">
        <v>1368050</v>
      </c>
      <c r="G257" s="113">
        <f>889048+143623+142356</f>
        <v>1175027</v>
      </c>
      <c r="H257" s="113">
        <v>142356</v>
      </c>
      <c r="J257" s="60"/>
      <c r="K257" s="60"/>
    </row>
    <row r="258" spans="1:11" ht="45">
      <c r="B258" s="66" t="s">
        <v>460</v>
      </c>
      <c r="C258" s="113"/>
      <c r="D258" s="59">
        <v>490000</v>
      </c>
      <c r="E258" s="59">
        <v>490000</v>
      </c>
      <c r="F258" s="59">
        <v>448900</v>
      </c>
      <c r="G258" s="113">
        <f>298895+50757+50128</f>
        <v>399780</v>
      </c>
      <c r="H258" s="113">
        <v>50128</v>
      </c>
      <c r="J258" s="60"/>
      <c r="K258" s="60"/>
    </row>
    <row r="259" spans="1:11" ht="45">
      <c r="B259" s="66" t="s">
        <v>461</v>
      </c>
      <c r="C259" s="113">
        <f t="shared" ref="C259:H259" si="86">C260+C261+C262</f>
        <v>0</v>
      </c>
      <c r="D259" s="113">
        <f t="shared" si="86"/>
        <v>25840000</v>
      </c>
      <c r="E259" s="113">
        <f t="shared" si="86"/>
        <v>25840000</v>
      </c>
      <c r="F259" s="113">
        <f t="shared" si="86"/>
        <v>21303570</v>
      </c>
      <c r="G259" s="113">
        <f t="shared" si="86"/>
        <v>17645435</v>
      </c>
      <c r="H259" s="113">
        <f t="shared" si="86"/>
        <v>2179527</v>
      </c>
      <c r="J259" s="60"/>
      <c r="K259" s="60"/>
    </row>
    <row r="260" spans="1:11" ht="90">
      <c r="B260" s="66" t="s">
        <v>462</v>
      </c>
      <c r="C260" s="113"/>
      <c r="D260" s="59">
        <v>8660000</v>
      </c>
      <c r="E260" s="59">
        <v>8660000</v>
      </c>
      <c r="F260" s="59">
        <v>7099110</v>
      </c>
      <c r="G260" s="113">
        <f>4376105+712937+719078</f>
        <v>5808120</v>
      </c>
      <c r="H260" s="113">
        <v>719078</v>
      </c>
      <c r="J260" s="60"/>
      <c r="K260" s="60"/>
    </row>
    <row r="261" spans="1:11" ht="75">
      <c r="B261" s="66" t="s">
        <v>463</v>
      </c>
      <c r="C261" s="113"/>
      <c r="D261" s="59">
        <v>9750000</v>
      </c>
      <c r="E261" s="59">
        <v>9750000</v>
      </c>
      <c r="F261" s="59">
        <v>7704150</v>
      </c>
      <c r="G261" s="113">
        <f>4673138+752372+757430</f>
        <v>6182940</v>
      </c>
      <c r="H261" s="113">
        <v>757430</v>
      </c>
      <c r="J261" s="60"/>
      <c r="K261" s="60"/>
    </row>
    <row r="262" spans="1:11" ht="75">
      <c r="B262" s="66" t="s">
        <v>464</v>
      </c>
      <c r="C262" s="113"/>
      <c r="D262" s="59">
        <v>7430000</v>
      </c>
      <c r="E262" s="59">
        <v>7430000</v>
      </c>
      <c r="F262" s="59">
        <v>6500310</v>
      </c>
      <c r="G262" s="113">
        <f>4250307+701049+703019</f>
        <v>5654375</v>
      </c>
      <c r="H262" s="113">
        <v>703019</v>
      </c>
      <c r="J262" s="60"/>
      <c r="K262" s="60"/>
    </row>
    <row r="263" spans="1:11" ht="135">
      <c r="B263" s="66" t="s">
        <v>517</v>
      </c>
      <c r="C263" s="113"/>
      <c r="D263" s="59">
        <v>4883620</v>
      </c>
      <c r="E263" s="59">
        <v>4883620</v>
      </c>
      <c r="F263" s="59">
        <v>4883620</v>
      </c>
      <c r="G263" s="113">
        <f>3383171+750928+748641</f>
        <v>4882740</v>
      </c>
      <c r="H263" s="113">
        <v>748641</v>
      </c>
      <c r="J263" s="60"/>
      <c r="K263" s="60"/>
    </row>
    <row r="264" spans="1:11">
      <c r="A264" s="41" t="s">
        <v>465</v>
      </c>
      <c r="B264" s="93" t="s">
        <v>466</v>
      </c>
      <c r="C264" s="116">
        <f>+C265</f>
        <v>0</v>
      </c>
      <c r="D264" s="116">
        <f t="shared" ref="D264:H266" si="87">+D265</f>
        <v>34306310</v>
      </c>
      <c r="E264" s="116">
        <f t="shared" si="87"/>
        <v>34306310</v>
      </c>
      <c r="F264" s="116">
        <f t="shared" si="87"/>
        <v>34306310</v>
      </c>
      <c r="G264" s="116">
        <f t="shared" si="87"/>
        <v>32868804</v>
      </c>
      <c r="H264" s="116">
        <f t="shared" si="87"/>
        <v>2366562</v>
      </c>
      <c r="I264" s="90"/>
      <c r="J264" s="60"/>
      <c r="K264" s="60"/>
    </row>
    <row r="265" spans="1:11">
      <c r="A265" s="41" t="s">
        <v>467</v>
      </c>
      <c r="B265" s="93" t="s">
        <v>217</v>
      </c>
      <c r="C265" s="116">
        <f>+C266</f>
        <v>0</v>
      </c>
      <c r="D265" s="116">
        <f t="shared" si="87"/>
        <v>34306310</v>
      </c>
      <c r="E265" s="116">
        <f t="shared" si="87"/>
        <v>34306310</v>
      </c>
      <c r="F265" s="116">
        <f t="shared" si="87"/>
        <v>34306310</v>
      </c>
      <c r="G265" s="116">
        <f t="shared" si="87"/>
        <v>32868804</v>
      </c>
      <c r="H265" s="116">
        <f t="shared" si="87"/>
        <v>2366562</v>
      </c>
      <c r="I265" s="90"/>
      <c r="J265" s="60"/>
      <c r="K265" s="60"/>
    </row>
    <row r="266" spans="1:11">
      <c r="A266" s="41" t="s">
        <v>468</v>
      </c>
      <c r="B266" s="62" t="s">
        <v>469</v>
      </c>
      <c r="C266" s="116">
        <f>+C267</f>
        <v>0</v>
      </c>
      <c r="D266" s="116">
        <f t="shared" si="87"/>
        <v>34306310</v>
      </c>
      <c r="E266" s="116">
        <f t="shared" si="87"/>
        <v>34306310</v>
      </c>
      <c r="F266" s="116">
        <f t="shared" si="87"/>
        <v>34306310</v>
      </c>
      <c r="G266" s="116">
        <f t="shared" si="87"/>
        <v>32868804</v>
      </c>
      <c r="H266" s="116">
        <f t="shared" si="87"/>
        <v>2366562</v>
      </c>
      <c r="I266" s="90"/>
      <c r="J266" s="60"/>
      <c r="K266" s="60"/>
    </row>
    <row r="267" spans="1:11">
      <c r="A267" s="41" t="s">
        <v>470</v>
      </c>
      <c r="B267" s="93" t="s">
        <v>471</v>
      </c>
      <c r="C267" s="112">
        <f t="shared" ref="C267:H267" si="88">C268</f>
        <v>0</v>
      </c>
      <c r="D267" s="112">
        <f t="shared" si="88"/>
        <v>34306310</v>
      </c>
      <c r="E267" s="112">
        <f t="shared" si="88"/>
        <v>34306310</v>
      </c>
      <c r="F267" s="112">
        <f t="shared" si="88"/>
        <v>34306310</v>
      </c>
      <c r="G267" s="112">
        <f t="shared" si="88"/>
        <v>32868804</v>
      </c>
      <c r="H267" s="112">
        <f t="shared" si="88"/>
        <v>2366562</v>
      </c>
      <c r="I267" s="90"/>
      <c r="J267" s="60"/>
      <c r="K267" s="60"/>
    </row>
    <row r="268" spans="1:11">
      <c r="A268" s="41" t="s">
        <v>472</v>
      </c>
      <c r="B268" s="93" t="s">
        <v>473</v>
      </c>
      <c r="C268" s="112">
        <f t="shared" ref="C268:H268" si="89">C270+C272+C274</f>
        <v>0</v>
      </c>
      <c r="D268" s="112">
        <f t="shared" si="89"/>
        <v>34306310</v>
      </c>
      <c r="E268" s="112">
        <f t="shared" si="89"/>
        <v>34306310</v>
      </c>
      <c r="F268" s="112">
        <f t="shared" si="89"/>
        <v>34306310</v>
      </c>
      <c r="G268" s="112">
        <f t="shared" si="89"/>
        <v>32868804</v>
      </c>
      <c r="H268" s="112">
        <f t="shared" si="89"/>
        <v>2366562</v>
      </c>
      <c r="I268" s="90"/>
      <c r="J268" s="60"/>
      <c r="K268" s="60"/>
    </row>
    <row r="269" spans="1:11">
      <c r="A269" s="41" t="s">
        <v>474</v>
      </c>
      <c r="B269" s="93" t="s">
        <v>475</v>
      </c>
      <c r="C269" s="112">
        <f t="shared" ref="C269:H269" si="90">C270</f>
        <v>0</v>
      </c>
      <c r="D269" s="112">
        <f t="shared" si="90"/>
        <v>24456660</v>
      </c>
      <c r="E269" s="112">
        <f t="shared" si="90"/>
        <v>24456660</v>
      </c>
      <c r="F269" s="112">
        <f t="shared" si="90"/>
        <v>24456660</v>
      </c>
      <c r="G269" s="112">
        <f t="shared" si="90"/>
        <v>23051554</v>
      </c>
      <c r="H269" s="112">
        <f t="shared" si="90"/>
        <v>1380072</v>
      </c>
      <c r="J269" s="60"/>
      <c r="K269" s="60"/>
    </row>
    <row r="270" spans="1:11">
      <c r="A270" s="41" t="s">
        <v>476</v>
      </c>
      <c r="B270" s="94" t="s">
        <v>518</v>
      </c>
      <c r="C270" s="113"/>
      <c r="D270" s="59">
        <v>24456660</v>
      </c>
      <c r="E270" s="59">
        <v>24456660</v>
      </c>
      <c r="F270" s="59">
        <v>24456660</v>
      </c>
      <c r="G270" s="88">
        <f>19327974+2343508+1380072</f>
        <v>23051554</v>
      </c>
      <c r="H270" s="88">
        <v>1380072</v>
      </c>
      <c r="J270" s="60"/>
      <c r="K270" s="60"/>
    </row>
    <row r="271" spans="1:11" s="125" customFormat="1">
      <c r="A271" s="128"/>
      <c r="B271" s="129" t="s">
        <v>519</v>
      </c>
      <c r="C271" s="123"/>
      <c r="D271" s="127">
        <v>200135</v>
      </c>
      <c r="E271" s="127">
        <v>200135</v>
      </c>
      <c r="F271" s="127">
        <v>200135</v>
      </c>
      <c r="G271" s="134">
        <f>151689+30561+17885</f>
        <v>200135</v>
      </c>
      <c r="H271" s="134">
        <v>17885</v>
      </c>
      <c r="J271" s="124"/>
      <c r="K271" s="124"/>
    </row>
    <row r="272" spans="1:11">
      <c r="A272" s="41" t="s">
        <v>477</v>
      </c>
      <c r="B272" s="94" t="s">
        <v>520</v>
      </c>
      <c r="C272" s="113"/>
      <c r="D272" s="59">
        <v>9849650</v>
      </c>
      <c r="E272" s="59">
        <v>9849650</v>
      </c>
      <c r="F272" s="59">
        <v>9849650</v>
      </c>
      <c r="G272" s="88">
        <f>7734780+1095980+986490</f>
        <v>9817250</v>
      </c>
      <c r="H272" s="88">
        <v>986490</v>
      </c>
      <c r="J272" s="60"/>
      <c r="K272" s="60"/>
    </row>
    <row r="273" spans="1:11" s="125" customFormat="1">
      <c r="A273" s="128"/>
      <c r="B273" s="129" t="s">
        <v>519</v>
      </c>
      <c r="C273" s="123"/>
      <c r="D273" s="127">
        <v>1775772</v>
      </c>
      <c r="E273" s="127">
        <v>1775772</v>
      </c>
      <c r="F273" s="127">
        <v>1775772</v>
      </c>
      <c r="G273" s="134">
        <f>1063985+375659+336128</f>
        <v>1775772</v>
      </c>
      <c r="H273" s="134">
        <v>336128</v>
      </c>
      <c r="J273" s="124"/>
      <c r="K273" s="124"/>
    </row>
    <row r="274" spans="1:11">
      <c r="B274" s="70" t="s">
        <v>478</v>
      </c>
      <c r="C274" s="113"/>
      <c r="D274" s="59"/>
      <c r="E274" s="59"/>
      <c r="F274" s="59"/>
      <c r="G274" s="88"/>
      <c r="H274" s="88"/>
      <c r="J274" s="60"/>
      <c r="K274" s="60"/>
    </row>
    <row r="275" spans="1:11" ht="30">
      <c r="A275" s="41" t="s">
        <v>228</v>
      </c>
      <c r="B275" s="95" t="s">
        <v>229</v>
      </c>
      <c r="C275" s="118">
        <f>C280+C276</f>
        <v>0</v>
      </c>
      <c r="D275" s="118">
        <f t="shared" ref="D275:H275" si="91">D280+D276</f>
        <v>0</v>
      </c>
      <c r="E275" s="118">
        <f t="shared" si="91"/>
        <v>0</v>
      </c>
      <c r="F275" s="118">
        <f t="shared" si="91"/>
        <v>0</v>
      </c>
      <c r="G275" s="118">
        <f t="shared" si="91"/>
        <v>0</v>
      </c>
      <c r="H275" s="118">
        <f t="shared" si="91"/>
        <v>0</v>
      </c>
    </row>
    <row r="276" spans="1:11">
      <c r="A276" s="41" t="s">
        <v>479</v>
      </c>
      <c r="B276" s="95" t="s">
        <v>480</v>
      </c>
      <c r="C276" s="118">
        <f>C277+C278+C279</f>
        <v>0</v>
      </c>
      <c r="D276" s="118">
        <f t="shared" ref="D276:H276" si="92">D277+D278+D279</f>
        <v>0</v>
      </c>
      <c r="E276" s="118">
        <f t="shared" si="92"/>
        <v>0</v>
      </c>
      <c r="F276" s="118">
        <f t="shared" si="92"/>
        <v>0</v>
      </c>
      <c r="G276" s="118">
        <f t="shared" si="92"/>
        <v>0</v>
      </c>
      <c r="H276" s="118">
        <f t="shared" si="92"/>
        <v>0</v>
      </c>
    </row>
    <row r="277" spans="1:11">
      <c r="A277" s="41" t="s">
        <v>481</v>
      </c>
      <c r="B277" s="95" t="s">
        <v>482</v>
      </c>
      <c r="C277" s="118"/>
      <c r="D277" s="59"/>
      <c r="E277" s="59"/>
      <c r="F277" s="59"/>
      <c r="G277" s="118"/>
      <c r="H277" s="118"/>
    </row>
    <row r="278" spans="1:11">
      <c r="A278" s="41" t="s">
        <v>483</v>
      </c>
      <c r="B278" s="95" t="s">
        <v>484</v>
      </c>
      <c r="C278" s="118"/>
      <c r="D278" s="59"/>
      <c r="E278" s="59"/>
      <c r="F278" s="59"/>
      <c r="G278" s="118"/>
      <c r="H278" s="118"/>
    </row>
    <row r="279" spans="1:11">
      <c r="A279" s="41" t="s">
        <v>485</v>
      </c>
      <c r="B279" s="95" t="s">
        <v>486</v>
      </c>
      <c r="C279" s="118"/>
      <c r="D279" s="59"/>
      <c r="E279" s="59"/>
      <c r="F279" s="59"/>
      <c r="G279" s="118"/>
      <c r="H279" s="118"/>
    </row>
    <row r="280" spans="1:11">
      <c r="A280" s="41" t="s">
        <v>487</v>
      </c>
      <c r="B280" s="95" t="s">
        <v>516</v>
      </c>
      <c r="C280" s="118">
        <f>C281+C282+C283</f>
        <v>0</v>
      </c>
      <c r="D280" s="118">
        <f t="shared" ref="D280:H280" si="93">D281+D282+D283</f>
        <v>0</v>
      </c>
      <c r="E280" s="118">
        <f t="shared" si="93"/>
        <v>0</v>
      </c>
      <c r="F280" s="118">
        <f t="shared" si="93"/>
        <v>0</v>
      </c>
      <c r="G280" s="118">
        <f t="shared" si="93"/>
        <v>0</v>
      </c>
      <c r="H280" s="118">
        <f t="shared" si="93"/>
        <v>0</v>
      </c>
    </row>
    <row r="281" spans="1:11">
      <c r="A281" s="41" t="s">
        <v>488</v>
      </c>
      <c r="B281" s="96" t="s">
        <v>489</v>
      </c>
      <c r="C281" s="88"/>
      <c r="D281" s="59"/>
      <c r="E281" s="59"/>
      <c r="F281" s="59"/>
      <c r="G281" s="88"/>
      <c r="H281" s="88"/>
    </row>
    <row r="282" spans="1:11">
      <c r="A282" s="41" t="s">
        <v>490</v>
      </c>
      <c r="B282" s="96" t="s">
        <v>491</v>
      </c>
      <c r="C282" s="88"/>
      <c r="D282" s="59"/>
      <c r="E282" s="59"/>
      <c r="F282" s="59"/>
      <c r="G282" s="88"/>
      <c r="H282" s="88"/>
    </row>
    <row r="283" spans="1:11">
      <c r="A283" s="41" t="s">
        <v>492</v>
      </c>
      <c r="B283" s="96" t="s">
        <v>486</v>
      </c>
      <c r="C283" s="88"/>
      <c r="D283" s="59"/>
      <c r="E283" s="59"/>
      <c r="F283" s="59"/>
      <c r="G283" s="88"/>
      <c r="H283" s="88"/>
    </row>
    <row r="284" spans="1:11">
      <c r="A284" s="41" t="s">
        <v>493</v>
      </c>
      <c r="B284" s="95" t="s">
        <v>494</v>
      </c>
      <c r="C284" s="118">
        <f>C285</f>
        <v>0</v>
      </c>
      <c r="D284" s="118">
        <f t="shared" ref="D284:H285" si="94">D285</f>
        <v>0</v>
      </c>
      <c r="E284" s="118">
        <f t="shared" si="94"/>
        <v>0</v>
      </c>
      <c r="F284" s="118">
        <f t="shared" si="94"/>
        <v>0</v>
      </c>
      <c r="G284" s="118">
        <f t="shared" si="94"/>
        <v>0</v>
      </c>
      <c r="H284" s="118">
        <f t="shared" si="94"/>
        <v>0</v>
      </c>
    </row>
    <row r="285" spans="1:11">
      <c r="A285" s="41" t="s">
        <v>495</v>
      </c>
      <c r="B285" s="95" t="s">
        <v>217</v>
      </c>
      <c r="C285" s="118">
        <f>C286</f>
        <v>0</v>
      </c>
      <c r="D285" s="118">
        <f t="shared" si="94"/>
        <v>0</v>
      </c>
      <c r="E285" s="118">
        <f t="shared" si="94"/>
        <v>0</v>
      </c>
      <c r="F285" s="118">
        <f t="shared" si="94"/>
        <v>0</v>
      </c>
      <c r="G285" s="118">
        <f t="shared" si="94"/>
        <v>0</v>
      </c>
      <c r="H285" s="118">
        <f t="shared" si="94"/>
        <v>0</v>
      </c>
    </row>
    <row r="286" spans="1:11" ht="30">
      <c r="A286" s="41" t="s">
        <v>496</v>
      </c>
      <c r="B286" s="95" t="s">
        <v>229</v>
      </c>
      <c r="C286" s="118">
        <f>C289</f>
        <v>0</v>
      </c>
      <c r="D286" s="118">
        <f t="shared" ref="D286:H286" si="95">D289</f>
        <v>0</v>
      </c>
      <c r="E286" s="118">
        <f t="shared" si="95"/>
        <v>0</v>
      </c>
      <c r="F286" s="118">
        <f t="shared" si="95"/>
        <v>0</v>
      </c>
      <c r="G286" s="118">
        <f t="shared" si="95"/>
        <v>0</v>
      </c>
      <c r="H286" s="118">
        <f t="shared" si="95"/>
        <v>0</v>
      </c>
    </row>
    <row r="287" spans="1:11">
      <c r="A287" s="41" t="s">
        <v>497</v>
      </c>
      <c r="B287" s="95" t="s">
        <v>242</v>
      </c>
      <c r="C287" s="118">
        <f t="shared" ref="C287:H292" si="96">C288</f>
        <v>0</v>
      </c>
      <c r="D287" s="118">
        <f t="shared" si="96"/>
        <v>0</v>
      </c>
      <c r="E287" s="118">
        <f t="shared" si="96"/>
        <v>0</v>
      </c>
      <c r="F287" s="118">
        <f t="shared" si="96"/>
        <v>0</v>
      </c>
      <c r="G287" s="118">
        <f t="shared" si="96"/>
        <v>0</v>
      </c>
      <c r="H287" s="118">
        <f t="shared" si="96"/>
        <v>0</v>
      </c>
    </row>
    <row r="288" spans="1:11">
      <c r="A288" s="41" t="s">
        <v>498</v>
      </c>
      <c r="B288" s="95" t="s">
        <v>217</v>
      </c>
      <c r="C288" s="118">
        <f t="shared" si="96"/>
        <v>0</v>
      </c>
      <c r="D288" s="118">
        <f t="shared" si="96"/>
        <v>0</v>
      </c>
      <c r="E288" s="118">
        <f t="shared" si="96"/>
        <v>0</v>
      </c>
      <c r="F288" s="118">
        <f t="shared" si="96"/>
        <v>0</v>
      </c>
      <c r="G288" s="118">
        <f t="shared" si="96"/>
        <v>0</v>
      </c>
      <c r="H288" s="118">
        <f t="shared" si="96"/>
        <v>0</v>
      </c>
    </row>
    <row r="289" spans="1:8" ht="30">
      <c r="A289" s="41" t="s">
        <v>499</v>
      </c>
      <c r="B289" s="96" t="s">
        <v>229</v>
      </c>
      <c r="C289" s="118">
        <f t="shared" si="96"/>
        <v>0</v>
      </c>
      <c r="D289" s="118">
        <f t="shared" si="96"/>
        <v>0</v>
      </c>
      <c r="E289" s="118">
        <f t="shared" si="96"/>
        <v>0</v>
      </c>
      <c r="F289" s="118">
        <f t="shared" si="96"/>
        <v>0</v>
      </c>
      <c r="G289" s="118">
        <f t="shared" si="96"/>
        <v>0</v>
      </c>
      <c r="H289" s="118">
        <f t="shared" si="96"/>
        <v>0</v>
      </c>
    </row>
    <row r="290" spans="1:8">
      <c r="A290" s="41" t="s">
        <v>500</v>
      </c>
      <c r="B290" s="95" t="s">
        <v>516</v>
      </c>
      <c r="C290" s="118">
        <f t="shared" si="96"/>
        <v>0</v>
      </c>
      <c r="D290" s="118">
        <f t="shared" si="96"/>
        <v>0</v>
      </c>
      <c r="E290" s="118">
        <f t="shared" si="96"/>
        <v>0</v>
      </c>
      <c r="F290" s="118">
        <f t="shared" si="96"/>
        <v>0</v>
      </c>
      <c r="G290" s="118">
        <f t="shared" si="96"/>
        <v>0</v>
      </c>
      <c r="H290" s="118">
        <f t="shared" si="96"/>
        <v>0</v>
      </c>
    </row>
    <row r="291" spans="1:8">
      <c r="A291" s="41" t="s">
        <v>501</v>
      </c>
      <c r="B291" s="95" t="s">
        <v>491</v>
      </c>
      <c r="C291" s="118">
        <f t="shared" si="96"/>
        <v>0</v>
      </c>
      <c r="D291" s="118">
        <f t="shared" si="96"/>
        <v>0</v>
      </c>
      <c r="E291" s="118">
        <f t="shared" si="96"/>
        <v>0</v>
      </c>
      <c r="F291" s="118">
        <f t="shared" si="96"/>
        <v>0</v>
      </c>
      <c r="G291" s="118">
        <f t="shared" si="96"/>
        <v>0</v>
      </c>
      <c r="H291" s="118">
        <f t="shared" si="96"/>
        <v>0</v>
      </c>
    </row>
    <row r="292" spans="1:8">
      <c r="A292" s="41" t="s">
        <v>502</v>
      </c>
      <c r="B292" s="95" t="s">
        <v>503</v>
      </c>
      <c r="C292" s="118">
        <f t="shared" si="96"/>
        <v>0</v>
      </c>
      <c r="D292" s="118">
        <f t="shared" si="96"/>
        <v>0</v>
      </c>
      <c r="E292" s="118">
        <f t="shared" si="96"/>
        <v>0</v>
      </c>
      <c r="F292" s="118">
        <f t="shared" si="96"/>
        <v>0</v>
      </c>
      <c r="G292" s="118">
        <f t="shared" si="96"/>
        <v>0</v>
      </c>
      <c r="H292" s="118">
        <f t="shared" si="96"/>
        <v>0</v>
      </c>
    </row>
    <row r="293" spans="1:8">
      <c r="A293" s="41" t="s">
        <v>504</v>
      </c>
      <c r="B293" s="96" t="s">
        <v>505</v>
      </c>
      <c r="C293" s="88"/>
      <c r="D293" s="59"/>
      <c r="E293" s="59"/>
      <c r="F293" s="59"/>
      <c r="G293" s="88"/>
      <c r="H293" s="88"/>
    </row>
    <row r="295" spans="1:8">
      <c r="B295" s="11" t="s">
        <v>524</v>
      </c>
      <c r="F295" s="11" t="s">
        <v>525</v>
      </c>
      <c r="G295" s="11"/>
    </row>
    <row r="296" spans="1:8">
      <c r="B296" s="11"/>
      <c r="F296" s="11"/>
      <c r="G296" s="11"/>
    </row>
    <row r="297" spans="1:8">
      <c r="B297" s="11" t="s">
        <v>522</v>
      </c>
      <c r="F297" s="11" t="s">
        <v>523</v>
      </c>
      <c r="G297" s="11"/>
    </row>
  </sheetData>
  <protectedRanges>
    <protectedRange sqref="B2:B3 C1:C3" name="Zonă1_1" securityDescriptor="O:WDG:WDD:(A;;CC;;;WD)"/>
    <protectedRange sqref="G144:H145 G45:H50 G69:H69 G37:H40 G164:H166 G61:H65 G80:H84 G53:H56 G203:H203 G133:H137 G25:H33 G35:H35 G99:H105 G91:H93 G111:H112 G95:H96 G114:H115 G117:H118 G120:H121 G123:H124 G126:H127 G147:H148 G150:H151 G158:H161 G168:H171 G209:H213 G139:H141 G153:H156 G183:H185" name="Zonă3"/>
    <protectedRange sqref="B1" name="Zonă1_1_1_1_1_1" securityDescriptor="O:WDG:WDD:(A;;CC;;;WD)"/>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2023-02-08T15:50:11Z</cp:lastPrinted>
  <dcterms:created xsi:type="dcterms:W3CDTF">2023-02-07T08:41:31Z</dcterms:created>
  <dcterms:modified xsi:type="dcterms:W3CDTF">2023-09-12T06:55:15Z</dcterms:modified>
</cp:coreProperties>
</file>